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ettings" sheetId="1" state="visible" r:id="rId3"/>
    <sheet name="Contracts" sheetId="2" state="visible" r:id="rId4"/>
    <sheet name="Milestones" sheetId="3" state="visible" r:id="rId5"/>
    <sheet name="Invoice Schedule" sheetId="4" state="visible" r:id="rId6"/>
    <sheet name="AR Tracker" sheetId="5" state="visible" r:id="rId7"/>
    <sheet name="Automation Map" sheetId="6" state="visible" r:id="rId8"/>
    <sheet name="Month Summary" sheetId="7" state="visible" r:id="rId9"/>
    <sheet name="Check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<sst xmlns="http://schemas.openxmlformats.org/spreadsheetml/2006/main" count="288" uniqueCount="176">
  <si>
    <t xml:space="preserve">Settings</t>
  </si>
  <si>
    <t xml:space="preserve">Sample project built to show the approach - placeholder names (Customer A, C-101 etc.)</t>
  </si>
  <si>
    <t xml:space="preserve">Setting</t>
  </si>
  <si>
    <t xml:space="preserve">Value</t>
  </si>
  <si>
    <t xml:space="preserve">Note</t>
  </si>
  <si>
    <t xml:space="preserve">As-at date</t>
  </si>
  <si>
    <t xml:space="preserve">Fixed so the sample recalculates the same way; live version uses TODAY()</t>
  </si>
  <si>
    <t xml:space="preserve">Report month</t>
  </si>
  <si>
    <t xml:space="preserve">2026-11</t>
  </si>
  <si>
    <t xml:space="preserve">Period shown on Month Summary</t>
  </si>
  <si>
    <t xml:space="preserve">Placeholder USD&gt;GBP rate</t>
  </si>
  <si>
    <t xml:space="preserve">Placeholder only - Xero applies its own daily rate on each invoice</t>
  </si>
  <si>
    <t xml:space="preserve">Renewal alert default (days)</t>
  </si>
  <si>
    <t xml:space="preserve">Used when a contract has no notice period of its own</t>
  </si>
  <si>
    <t xml:space="preserve">Contract register (one row per signed contract)</t>
  </si>
  <si>
    <t xml:space="preserve">Contract</t>
  </si>
  <si>
    <t xml:space="preserve">Customer</t>
  </si>
  <si>
    <t xml:space="preserve">Type</t>
  </si>
  <si>
    <t xml:space="preserve">Currency</t>
  </si>
  <si>
    <t xml:space="preserve">Start</t>
  </si>
  <si>
    <t xml:space="preserve">End</t>
  </si>
  <si>
    <t xml:space="preserve">Monthly fee</t>
  </si>
  <si>
    <t xml:space="preserve">Project value</t>
  </si>
  <si>
    <t xml:space="preserve">Billing day</t>
  </si>
  <si>
    <t xml:space="preserve">Terms (days)</t>
  </si>
  <si>
    <t xml:space="preserve">Renewal notice (days)</t>
  </si>
  <si>
    <t xml:space="preserve">ClickUp ID</t>
  </si>
  <si>
    <t xml:space="preserve">Days to end</t>
  </si>
  <si>
    <t xml:space="preserve">Status</t>
  </si>
  <si>
    <t xml:space="preserve">Xero setup</t>
  </si>
  <si>
    <t xml:space="preserve">C-101</t>
  </si>
  <si>
    <t xml:space="preserve">Customer A</t>
  </si>
  <si>
    <t xml:space="preserve">Retainer</t>
  </si>
  <si>
    <t xml:space="preserve">USD</t>
  </si>
  <si>
    <t xml:space="preserve">CU-8812</t>
  </si>
  <si>
    <t xml:space="preserve">Xero repeating invoice</t>
  </si>
  <si>
    <t xml:space="preserve">C-102</t>
  </si>
  <si>
    <t xml:space="preserve">Customer B</t>
  </si>
  <si>
    <t xml:space="preserve">CU-8840</t>
  </si>
  <si>
    <t xml:space="preserve">C-103</t>
  </si>
  <si>
    <t xml:space="preserve">Customer C</t>
  </si>
  <si>
    <t xml:space="preserve">Milestone project</t>
  </si>
  <si>
    <t xml:space="preserve">CU-8871</t>
  </si>
  <si>
    <t xml:space="preserve">Draft invoice per milestone (Make)</t>
  </si>
  <si>
    <t xml:space="preserve">C-104</t>
  </si>
  <si>
    <t xml:space="preserve">Customer D</t>
  </si>
  <si>
    <t xml:space="preserve">One-off project</t>
  </si>
  <si>
    <t xml:space="preserve">GBP</t>
  </si>
  <si>
    <t xml:space="preserve">CU-8879</t>
  </si>
  <si>
    <t xml:space="preserve">Draft invoice: deposit + completion (Make)</t>
  </si>
  <si>
    <t xml:space="preserve">C-105</t>
  </si>
  <si>
    <t xml:space="preserve">Customer E</t>
  </si>
  <si>
    <t xml:space="preserve">CU-8702</t>
  </si>
  <si>
    <t xml:space="preserve">C-106</t>
  </si>
  <si>
    <t xml:space="preserve">Customer F</t>
  </si>
  <si>
    <t xml:space="preserve">CU-8893</t>
  </si>
  <si>
    <t xml:space="preserve">Milestone and one-off billing (triggered by ClickUp task status)</t>
  </si>
  <si>
    <t xml:space="preserve">Step</t>
  </si>
  <si>
    <t xml:space="preserve">Milestone</t>
  </si>
  <si>
    <t xml:space="preserve">% of value</t>
  </si>
  <si>
    <t xml:space="preserve">Amount</t>
  </si>
  <si>
    <t xml:space="preserve">ClickUp task done?</t>
  </si>
  <si>
    <t xml:space="preserve">Invoiced?</t>
  </si>
  <si>
    <t xml:space="preserve">Billing status</t>
  </si>
  <si>
    <t xml:space="preserve">Lookup key</t>
  </si>
  <si>
    <t xml:space="preserve">M1</t>
  </si>
  <si>
    <t xml:space="preserve">Discovery &amp; architecture signed off</t>
  </si>
  <si>
    <t xml:space="preserve">Yes</t>
  </si>
  <si>
    <t xml:space="preserve">M2</t>
  </si>
  <si>
    <t xml:space="preserve">Build complete</t>
  </si>
  <si>
    <t xml:space="preserve">No</t>
  </si>
  <si>
    <t xml:space="preserve">M3</t>
  </si>
  <si>
    <t xml:space="preserve">Handover &amp; training</t>
  </si>
  <si>
    <t xml:space="preserve">D1</t>
  </si>
  <si>
    <t xml:space="preserve">Deposit on signing</t>
  </si>
  <si>
    <t xml:space="preserve">D2</t>
  </si>
  <si>
    <t xml:space="preserve">Completion</t>
  </si>
  <si>
    <t xml:space="preserve">Invoice schedule: Nov 2026 - Jan 2027 (retainers + milestones)</t>
  </si>
  <si>
    <t xml:space="preserve">Period</t>
  </si>
  <si>
    <t xml:space="preserve">Issue date</t>
  </si>
  <si>
    <t xml:space="preserve">Due date</t>
  </si>
  <si>
    <t xml:space="preserve">Xero method</t>
  </si>
  <si>
    <t xml:space="preserve">Duplicate key</t>
  </si>
  <si>
    <t xml:space="preserve">Duplicate check</t>
  </si>
  <si>
    <t xml:space="preserve">Contract check</t>
  </si>
  <si>
    <t xml:space="preserve">2026-12</t>
  </si>
  <si>
    <t xml:space="preserve">2027-01</t>
  </si>
  <si>
    <t xml:space="preserve">Outstanding invoices and reminder stage</t>
  </si>
  <si>
    <t xml:space="preserve">Invoice</t>
  </si>
  <si>
    <t xml:space="preserve">Description</t>
  </si>
  <si>
    <t xml:space="preserve">Issued</t>
  </si>
  <si>
    <t xml:space="preserve">Due</t>
  </si>
  <si>
    <t xml:space="preserve">Paid?</t>
  </si>
  <si>
    <t xml:space="preserve">Days overdue</t>
  </si>
  <si>
    <t xml:space="preserve">Reminder stage</t>
  </si>
  <si>
    <t xml:space="preserve">INV-0405</t>
  </si>
  <si>
    <t xml:space="preserve">Sep retainer</t>
  </si>
  <si>
    <t xml:space="preserve">INV-0412</t>
  </si>
  <si>
    <t xml:space="preserve">Oct retainer</t>
  </si>
  <si>
    <t xml:space="preserve">INV-0413</t>
  </si>
  <si>
    <t xml:space="preserve">INV-0415</t>
  </si>
  <si>
    <t xml:space="preserve">Deposit D1</t>
  </si>
  <si>
    <t xml:space="preserve">INV-0416</t>
  </si>
  <si>
    <t xml:space="preserve">Milestone M1</t>
  </si>
  <si>
    <t xml:space="preserve">INV-0417</t>
  </si>
  <si>
    <t xml:space="preserve">Signed contract &gt; invoice &gt; payment: what runs on its own</t>
  </si>
  <si>
    <t xml:space="preserve">Trigger</t>
  </si>
  <si>
    <t xml:space="preserve">Where</t>
  </si>
  <si>
    <t xml:space="preserve">What happens</t>
  </si>
  <si>
    <t xml:space="preserve">Mode</t>
  </si>
  <si>
    <t xml:space="preserve">Deal marked Won in ClickUp</t>
  </si>
  <si>
    <t xml:space="preserve">ClickUp &gt; Make</t>
  </si>
  <si>
    <t xml:space="preserve">Create or update Xero contact; add row to contract register</t>
  </si>
  <si>
    <t xml:space="preserve">Auto</t>
  </si>
  <si>
    <t xml:space="preserve">Contract signed</t>
  </si>
  <si>
    <t xml:space="preserve">E-sign / ClickUp field &gt; Make</t>
  </si>
  <si>
    <t xml:space="preserve">Retainer: create Xero repeating invoice. Project: create milestone rows</t>
  </si>
  <si>
    <t xml:space="preserve">Retainer billing day</t>
  </si>
  <si>
    <t xml:space="preserve">Invoice raised on billing day in the contract currency</t>
  </si>
  <si>
    <t xml:space="preserve">Milestone task completed in ClickUp</t>
  </si>
  <si>
    <t xml:space="preserve">ClickUp &gt; Make &gt; Xero</t>
  </si>
  <si>
    <t xml:space="preserve">Draft invoice for that milestone; blocks a second draft for the same key</t>
  </si>
  <si>
    <t xml:space="preserve">Draft invoices ready</t>
  </si>
  <si>
    <t xml:space="preserve">Finance person</t>
  </si>
  <si>
    <t xml:space="preserve">Check and approve drafts before they are sent</t>
  </si>
  <si>
    <t xml:space="preserve">Manual (control)</t>
  </si>
  <si>
    <t xml:space="preserve">Invoice approved</t>
  </si>
  <si>
    <t xml:space="preserve">Xero</t>
  </si>
  <si>
    <t xml:space="preserve">Invoice emailed with payment link</t>
  </si>
  <si>
    <t xml:space="preserve">Payment received</t>
  </si>
  <si>
    <t xml:space="preserve">Xero bank feed</t>
  </si>
  <si>
    <t xml:space="preserve">Match payment to invoice; finance confirms the match</t>
  </si>
  <si>
    <t xml:space="preserve">Review</t>
  </si>
  <si>
    <t xml:space="preserve">Invoice overdue</t>
  </si>
  <si>
    <t xml:space="preserve">Xero reminders + Make</t>
  </si>
  <si>
    <t xml:space="preserve">Reminders at day 1, 7 and 14; ClickUp task to account owner at day 30</t>
  </si>
  <si>
    <t xml:space="preserve">Contract within notice period</t>
  </si>
  <si>
    <t xml:space="preserve">Make (daily)</t>
  </si>
  <si>
    <t xml:space="preserve">ClickUp renewal task + email to account owner</t>
  </si>
  <si>
    <t xml:space="preserve">Month end</t>
  </si>
  <si>
    <t xml:space="preserve">Xero reports + this workbook</t>
  </si>
  <si>
    <t xml:space="preserve">P&amp;L by tracking category, AR ageing, billing forecast</t>
  </si>
  <si>
    <t xml:space="preserve">Month-end checks</t>
  </si>
  <si>
    <t xml:space="preserve">Run the Checks tab and sign off</t>
  </si>
  <si>
    <t xml:space="preserve">Share of steps fully automated</t>
  </si>
  <si>
    <t xml:space="preserve">Manual steps are kept on purpose: approving drafts and month-end sign-off.</t>
  </si>
  <si>
    <t xml:space="preserve">Month summary for the report month (Settings!B6)</t>
  </si>
  <si>
    <t xml:space="preserve">Line</t>
  </si>
  <si>
    <t xml:space="preserve">Scheduled &amp; cleared</t>
  </si>
  <si>
    <t xml:space="preserve">Waiting on ClickUp</t>
  </si>
  <si>
    <t xml:space="preserve">Cleared, GBP equiv. (placeholder rate)</t>
  </si>
  <si>
    <t xml:space="preserve">Total cleared (GBP equiv.)</t>
  </si>
  <si>
    <t xml:space="preserve">Held (outside contract)</t>
  </si>
  <si>
    <t xml:space="preserve">Open AR (GBP equiv.)</t>
  </si>
  <si>
    <t xml:space="preserve">Of which 30+ days overdue</t>
  </si>
  <si>
    <t xml:space="preserve">Contracts in renewal window</t>
  </si>
  <si>
    <t xml:space="preserve">Revenue, expenses and profit come from Xero's P&amp;L by tracking category (customer / service line); this tab covers billing and AR.</t>
  </si>
  <si>
    <t xml:space="preserve">Control checks</t>
  </si>
  <si>
    <t xml:space="preserve">Check</t>
  </si>
  <si>
    <t xml:space="preserve">Expected</t>
  </si>
  <si>
    <t xml:space="preserve">Actual</t>
  </si>
  <si>
    <t xml:space="preserve">Result</t>
  </si>
  <si>
    <t xml:space="preserve">Why it matters</t>
  </si>
  <si>
    <t xml:space="preserve">No duplicate invoice keys in the schedule</t>
  </si>
  <si>
    <t xml:space="preserve">One contract, one period, one invoice. Stops double billing.</t>
  </si>
  <si>
    <t xml:space="preserve">Milestone % adds to 100% (C-103)</t>
  </si>
  <si>
    <t xml:space="preserve">Every dollar of the project is billed once.</t>
  </si>
  <si>
    <t xml:space="preserve">Milestone % adds to 100% (C-104)</t>
  </si>
  <si>
    <t xml:space="preserve">Same for the one-off project.</t>
  </si>
  <si>
    <t xml:space="preserve">Every retainer live in Nov has a cleared Nov invoice</t>
  </si>
  <si>
    <t xml:space="preserve">No retainer is missed in the month.</t>
  </si>
  <si>
    <t xml:space="preserve">Schedule rows held outside a contract window</t>
  </si>
  <si>
    <t xml:space="preserve">n/a</t>
  </si>
  <si>
    <t xml:space="preserve">Expired or unrenewed contracts are held, not invoiced.</t>
  </si>
  <si>
    <t xml:space="preserve">Month total = cleared + waiting rows for the month</t>
  </si>
  <si>
    <t xml:space="preserve">The summary agrees with the schedule.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</si>
</sst>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#,##0"/>
    <numFmt numFmtId="167" formatCode="0%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mbria"/>
      <family val="0"/>
      <charset val="1"/>
    </font>
    <font>
      <i val="true"/>
      <sz val="9"/>
      <color rgb="FF5B6776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B2545"/>
        <bgColor rgb="FF333333"/>
      </patternFill>
    </fill>
    <fill>
      <patternFill patternType="solid">
        <fgColor rgb="FF1A7F86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5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6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7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BF0DA"/>
        </patternFill>
      </fill>
    </dxf>
    <dxf>
      <fill>
        <patternFill>
          <bgColor rgb="FFF6E0DE"/>
        </patternFill>
      </fill>
    </dxf>
    <dxf>
      <fill>
        <patternFill>
          <bgColor rgb="FFDEF0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A7F86"/>
      <rgbColor rgb="FFC0C0C0"/>
      <rgbColor rgb="FF808080"/>
      <rgbColor rgb="FF9999FF"/>
      <rgbColor rgb="FF993366"/>
      <rgbColor rgb="FFFBF0DA"/>
      <rgbColor rgb="FFDEF0E7"/>
      <rgbColor rgb="FF660066"/>
      <rgbColor rgb="FFFF8080"/>
      <rgbColor rgb="FF0066CC"/>
      <rgbColor rgb="FFD5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6E0DE"/>
      <rgbColor rgb="FF3366FF"/>
      <rgbColor rgb="FF33CCCC"/>
      <rgbColor rgb="FF99CC00"/>
      <rgbColor rgb="FFFFCC00"/>
      <rgbColor rgb="FFFF9900"/>
      <rgbColor rgb="FFFF6600"/>
      <rgbColor rgb="FF5B6776"/>
      <rgbColor rgb="FF969696"/>
      <rgbColor rgb="FF0B2545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7.35" hidden="false" customHeight="false" outlineLevel="0" collapsed="false">
      <c r="A1" s="1" t="s">
        <v>0</v>
      </c>
      <c r="B1" s="2"/>
      <c r="C1" s="2"/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2</v>
      </c>
      <c r="B4" s="4" t="s">
        <v>3</v>
      </c>
      <c r="C4" s="4" t="s">
        <v>4</v>
      </c>
    </row>
    <row r="5" customFormat="false" ht="15" hidden="false" customHeight="false" outlineLevel="0" collapsed="false">
      <c r="A5" s="5" t="s">
        <v>5</v>
      </c>
      <c r="B5" s="6" t="n">
        <v>46327</v>
      </c>
      <c r="C5" s="5" t="s">
        <v>6</v>
      </c>
    </row>
    <row r="6" customFormat="false" ht="15" hidden="false" customHeight="false" outlineLevel="0" collapsed="false">
      <c r="A6" s="5" t="s">
        <v>7</v>
      </c>
      <c r="B6" s="5" t="s">
        <v>8</v>
      </c>
      <c r="C6" s="5" t="s">
        <v>9</v>
      </c>
    </row>
    <row r="7" customFormat="false" ht="15" hidden="false" customHeight="false" outlineLevel="0" collapsed="false">
      <c r="A7" s="5" t="s">
        <v>10</v>
      </c>
      <c r="B7" s="5" t="n">
        <v>0.78</v>
      </c>
      <c r="C7" s="5" t="s">
        <v>11</v>
      </c>
    </row>
    <row r="8" customFormat="false" ht="15" hidden="false" customHeight="false" outlineLevel="0" collapsed="false">
      <c r="A8" s="5" t="s">
        <v>12</v>
      </c>
      <c r="B8" s="5" t="n">
        <v>60</v>
      </c>
      <c r="C8" s="5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2"/>
    <col collapsed="false" customWidth="true" hidden="false" outlineLevel="0" max="3" min="3" style="0" width="17"/>
    <col collapsed="false" customWidth="true" hidden="false" outlineLevel="0" max="4" min="4" style="0" width="9"/>
    <col collapsed="false" customWidth="true" hidden="false" outlineLevel="0" max="7" min="5" style="0" width="11"/>
    <col collapsed="false" customWidth="true" hidden="false" outlineLevel="0" max="8" min="8" style="0" width="12"/>
    <col collapsed="false" customWidth="true" hidden="false" outlineLevel="0" max="10" min="9" style="0" width="9"/>
    <col collapsed="false" customWidth="true" hidden="false" outlineLevel="0" max="11" min="11" style="0" width="11"/>
    <col collapsed="false" customWidth="true" hidden="false" outlineLevel="0" max="13" min="12" style="0" width="10"/>
    <col collapsed="false" customWidth="true" hidden="false" outlineLevel="0" max="14" min="14" style="0" width="14"/>
    <col collapsed="false" customWidth="true" hidden="false" outlineLevel="0" max="15" min="15" style="0" width="34"/>
  </cols>
  <sheetData>
    <row r="1" customFormat="false" ht="17.35" hidden="false" customHeight="false" outlineLevel="0" collapsed="false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5" hidden="false" customHeight="false" outlineLevel="0" collapsed="false">
      <c r="A2" s="3" t="s">
        <v>1</v>
      </c>
    </row>
    <row r="4" customFormat="false" ht="41.75" hidden="false" customHeight="false" outlineLevel="0" collapsed="false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 t="s">
        <v>28</v>
      </c>
      <c r="O4" s="4" t="s">
        <v>29</v>
      </c>
    </row>
    <row r="5" customFormat="false" ht="15" hidden="false" customHeight="false" outlineLevel="0" collapsed="false">
      <c r="A5" s="5" t="s">
        <v>30</v>
      </c>
      <c r="B5" s="5" t="s">
        <v>31</v>
      </c>
      <c r="C5" s="5" t="s">
        <v>32</v>
      </c>
      <c r="D5" s="5" t="s">
        <v>33</v>
      </c>
      <c r="E5" s="6" t="n">
        <v>46023</v>
      </c>
      <c r="F5" s="6" t="n">
        <v>46387</v>
      </c>
      <c r="G5" s="7" t="n">
        <v>6000</v>
      </c>
      <c r="H5" s="7"/>
      <c r="I5" s="5" t="n">
        <v>1</v>
      </c>
      <c r="J5" s="5" t="n">
        <v>30</v>
      </c>
      <c r="K5" s="5" t="n">
        <v>60</v>
      </c>
      <c r="L5" s="5" t="s">
        <v>34</v>
      </c>
      <c r="M5" s="5" t="n">
        <f aca="false">F5-Settings!$B$5</f>
        <v>60</v>
      </c>
      <c r="N5" s="8" t="str">
        <f aca="false">IF(Settings!$B$5&lt;E5,"Pending start",IF(Settings!$B$5&gt;F5,"Expired",IF(K5="","Active",IF(M5&lt;=K5,"Renewal due","Active"))))</f>
        <v>Renewal due</v>
      </c>
      <c r="O5" s="5" t="s">
        <v>35</v>
      </c>
    </row>
    <row r="6" customFormat="false" ht="15" hidden="false" customHeight="false" outlineLevel="0" collapsed="false">
      <c r="A6" s="5" t="s">
        <v>36</v>
      </c>
      <c r="B6" s="5" t="s">
        <v>37</v>
      </c>
      <c r="C6" s="5" t="s">
        <v>32</v>
      </c>
      <c r="D6" s="5" t="s">
        <v>33</v>
      </c>
      <c r="E6" s="6" t="n">
        <v>46174</v>
      </c>
      <c r="F6" s="6" t="n">
        <v>46538</v>
      </c>
      <c r="G6" s="7" t="n">
        <v>4500</v>
      </c>
      <c r="H6" s="7"/>
      <c r="I6" s="5" t="n">
        <v>1</v>
      </c>
      <c r="J6" s="5" t="n">
        <v>30</v>
      </c>
      <c r="K6" s="5" t="n">
        <v>60</v>
      </c>
      <c r="L6" s="5" t="s">
        <v>38</v>
      </c>
      <c r="M6" s="5" t="n">
        <f aca="false">F6-Settings!$B$5</f>
        <v>211</v>
      </c>
      <c r="N6" s="8" t="str">
        <f aca="false">IF(Settings!$B$5&lt;E6,"Pending start",IF(Settings!$B$5&gt;F6,"Expired",IF(K6="","Active",IF(M6&lt;=K6,"Renewal due","Active"))))</f>
        <v>Active</v>
      </c>
      <c r="O6" s="5" t="s">
        <v>35</v>
      </c>
    </row>
    <row r="7" customFormat="false" ht="15" hidden="false" customHeight="false" outlineLevel="0" collapsed="false">
      <c r="A7" s="5" t="s">
        <v>39</v>
      </c>
      <c r="B7" s="5" t="s">
        <v>40</v>
      </c>
      <c r="C7" s="5" t="s">
        <v>41</v>
      </c>
      <c r="D7" s="5" t="s">
        <v>33</v>
      </c>
      <c r="E7" s="6" t="n">
        <v>46296</v>
      </c>
      <c r="F7" s="6" t="n">
        <v>46446</v>
      </c>
      <c r="G7" s="7"/>
      <c r="H7" s="7" t="n">
        <v>24000</v>
      </c>
      <c r="I7" s="5"/>
      <c r="J7" s="5" t="n">
        <v>30</v>
      </c>
      <c r="K7" s="5" t="n">
        <v>30</v>
      </c>
      <c r="L7" s="5" t="s">
        <v>42</v>
      </c>
      <c r="M7" s="5" t="n">
        <f aca="false">F7-Settings!$B$5</f>
        <v>119</v>
      </c>
      <c r="N7" s="8" t="str">
        <f aca="false">IF(Settings!$B$5&lt;E7,"Pending start",IF(Settings!$B$5&gt;F7,"Expired",IF(K7="","Active",IF(M7&lt;=K7,"Renewal due","Active"))))</f>
        <v>Active</v>
      </c>
      <c r="O7" s="5" t="s">
        <v>43</v>
      </c>
    </row>
    <row r="8" customFormat="false" ht="28.35" hidden="false" customHeight="false" outlineLevel="0" collapsed="false">
      <c r="A8" s="5" t="s">
        <v>44</v>
      </c>
      <c r="B8" s="5" t="s">
        <v>45</v>
      </c>
      <c r="C8" s="5" t="s">
        <v>46</v>
      </c>
      <c r="D8" s="5" t="s">
        <v>47</v>
      </c>
      <c r="E8" s="6" t="n">
        <v>46310</v>
      </c>
      <c r="F8" s="6" t="n">
        <v>46356</v>
      </c>
      <c r="G8" s="7"/>
      <c r="H8" s="7" t="n">
        <v>8000</v>
      </c>
      <c r="I8" s="5"/>
      <c r="J8" s="5" t="n">
        <v>14</v>
      </c>
      <c r="K8" s="5"/>
      <c r="L8" s="5" t="s">
        <v>48</v>
      </c>
      <c r="M8" s="5" t="n">
        <f aca="false">F8-Settings!$B$5</f>
        <v>29</v>
      </c>
      <c r="N8" s="8" t="str">
        <f aca="false">IF(Settings!$B$5&lt;E8,"Pending start",IF(Settings!$B$5&gt;F8,"Expired",IF(K8="","Active",IF(M8&lt;=K8,"Renewal due","Active"))))</f>
        <v>Active</v>
      </c>
      <c r="O8" s="5" t="s">
        <v>49</v>
      </c>
    </row>
    <row r="9" customFormat="false" ht="15" hidden="false" customHeight="false" outlineLevel="0" collapsed="false">
      <c r="A9" s="5" t="s">
        <v>50</v>
      </c>
      <c r="B9" s="5" t="s">
        <v>51</v>
      </c>
      <c r="C9" s="5" t="s">
        <v>32</v>
      </c>
      <c r="D9" s="5" t="s">
        <v>33</v>
      </c>
      <c r="E9" s="6" t="n">
        <v>45962</v>
      </c>
      <c r="F9" s="6" t="n">
        <v>46326</v>
      </c>
      <c r="G9" s="7" t="n">
        <v>3000</v>
      </c>
      <c r="H9" s="7"/>
      <c r="I9" s="5" t="n">
        <v>1</v>
      </c>
      <c r="J9" s="5" t="n">
        <v>30</v>
      </c>
      <c r="K9" s="5" t="n">
        <v>60</v>
      </c>
      <c r="L9" s="5" t="s">
        <v>52</v>
      </c>
      <c r="M9" s="5" t="n">
        <f aca="false">F9-Settings!$B$5</f>
        <v>-1</v>
      </c>
      <c r="N9" s="8" t="str">
        <f aca="false">IF(Settings!$B$5&lt;E9,"Pending start",IF(Settings!$B$5&gt;F9,"Expired",IF(K9="","Active",IF(M9&lt;=K9,"Renewal due","Active"))))</f>
        <v>Expired</v>
      </c>
      <c r="O9" s="5" t="s">
        <v>35</v>
      </c>
    </row>
    <row r="10" customFormat="false" ht="15" hidden="false" customHeight="false" outlineLevel="0" collapsed="false">
      <c r="A10" s="5" t="s">
        <v>53</v>
      </c>
      <c r="B10" s="5" t="s">
        <v>54</v>
      </c>
      <c r="C10" s="5" t="s">
        <v>32</v>
      </c>
      <c r="D10" s="5" t="s">
        <v>47</v>
      </c>
      <c r="E10" s="6" t="n">
        <v>46327</v>
      </c>
      <c r="F10" s="6" t="n">
        <v>46691</v>
      </c>
      <c r="G10" s="7" t="n">
        <v>2500</v>
      </c>
      <c r="H10" s="7"/>
      <c r="I10" s="5" t="n">
        <v>15</v>
      </c>
      <c r="J10" s="5" t="n">
        <v>14</v>
      </c>
      <c r="K10" s="5" t="n">
        <v>60</v>
      </c>
      <c r="L10" s="5" t="s">
        <v>55</v>
      </c>
      <c r="M10" s="5" t="n">
        <f aca="false">F10-Settings!$B$5</f>
        <v>364</v>
      </c>
      <c r="N10" s="8" t="str">
        <f aca="false">IF(Settings!$B$5&lt;E10,"Pending start",IF(Settings!$B$5&gt;F10,"Expired",IF(K10="","Active",IF(M10&lt;=K10,"Renewal due","Active"))))</f>
        <v>Active</v>
      </c>
      <c r="O10" s="5" t="s">
        <v>35</v>
      </c>
    </row>
  </sheetData>
  <conditionalFormatting sqref="N5:N40">
    <cfRule type="expression" priority="2" aboveAverage="0" equalAverage="0" bottom="0" percent="0" rank="0" text="" dxfId="0">
      <formula>N5="Renewal due"</formula>
    </cfRule>
    <cfRule type="expression" priority="3" aboveAverage="0" equalAverage="0" bottom="0" percent="0" rank="0" text="" dxfId="1">
      <formula>N5="Expired"</formula>
    </cfRule>
  </conditionalFormatting>
  <dataValidations count="2">
    <dataValidation allowBlank="true" errorStyle="stop" operator="between" showDropDown="false" showErrorMessage="false" showInputMessage="false" sqref="C5:C40" type="list">
      <formula1>"Retainer,Milestone project,One-off project"</formula1>
      <formula2>0</formula2>
    </dataValidation>
    <dataValidation allowBlank="true" errorStyle="stop" operator="between" showDropDown="false" showErrorMessage="false" showInputMessage="false" sqref="D5:D40" type="list">
      <formula1>"USD,GBP,EUR"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2"/>
    <col collapsed="false" customWidth="true" hidden="false" outlineLevel="0" max="3" min="3" style="0" width="7"/>
    <col collapsed="false" customWidth="true" hidden="false" outlineLevel="0" max="4" min="4" style="0" width="34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9"/>
    <col collapsed="false" customWidth="true" hidden="false" outlineLevel="0" max="8" min="8" style="0" width="14"/>
    <col collapsed="false" customWidth="true" hidden="false" outlineLevel="0" max="9" min="9" style="0" width="10"/>
    <col collapsed="false" customWidth="true" hidden="false" outlineLevel="0" max="10" min="10" style="0" width="20"/>
    <col collapsed="false" customWidth="true" hidden="false" outlineLevel="0" max="11" min="11" style="0" width="12"/>
  </cols>
  <sheetData>
    <row r="1" customFormat="false" ht="17.35" hidden="false" customHeight="false" outlineLevel="0" collapsed="false">
      <c r="A1" s="1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5" hidden="false" customHeight="false" outlineLevel="0" collapsed="false">
      <c r="A2" s="3" t="s">
        <v>1</v>
      </c>
    </row>
    <row r="4" customFormat="false" ht="28.35" hidden="false" customHeight="false" outlineLevel="0" collapsed="false">
      <c r="A4" s="4" t="s">
        <v>15</v>
      </c>
      <c r="B4" s="4" t="s">
        <v>16</v>
      </c>
      <c r="C4" s="4" t="s">
        <v>57</v>
      </c>
      <c r="D4" s="4" t="s">
        <v>58</v>
      </c>
      <c r="E4" s="4" t="s">
        <v>59</v>
      </c>
      <c r="F4" s="4" t="s">
        <v>60</v>
      </c>
      <c r="G4" s="4" t="s">
        <v>18</v>
      </c>
      <c r="H4" s="4" t="s">
        <v>61</v>
      </c>
      <c r="I4" s="4" t="s">
        <v>62</v>
      </c>
      <c r="J4" s="4" t="s">
        <v>63</v>
      </c>
      <c r="K4" s="4" t="s">
        <v>64</v>
      </c>
    </row>
    <row r="5" customFormat="false" ht="15" hidden="false" customHeight="false" outlineLevel="0" collapsed="false">
      <c r="A5" s="5" t="s">
        <v>39</v>
      </c>
      <c r="B5" s="5" t="str">
        <f aca="false">VLOOKUP(A5,Contracts!$A$5:$O$40,2,FALSE())</f>
        <v>Customer C</v>
      </c>
      <c r="C5" s="5" t="s">
        <v>65</v>
      </c>
      <c r="D5" s="5" t="s">
        <v>66</v>
      </c>
      <c r="E5" s="9" t="n">
        <v>0.25</v>
      </c>
      <c r="F5" s="7" t="n">
        <f aca="false">E5*VLOOKUP(A5,Contracts!$A$5:$O$40,8,FALSE())</f>
        <v>6000</v>
      </c>
      <c r="G5" s="5" t="str">
        <f aca="false">VLOOKUP(A5,Contracts!$A$5:$O$40,4,FALSE())</f>
        <v>USD</v>
      </c>
      <c r="H5" s="5" t="s">
        <v>67</v>
      </c>
      <c r="I5" s="5" t="s">
        <v>67</v>
      </c>
      <c r="J5" s="8" t="str">
        <f aca="false">IF(I5="Yes","Invoiced",IF(H5="Yes","Ready to invoice","Waiting on ClickUp"))</f>
        <v>Invoiced</v>
      </c>
      <c r="K5" s="5" t="str">
        <f aca="false">A5&amp;C5</f>
        <v>C-103M1</v>
      </c>
    </row>
    <row r="6" customFormat="false" ht="15" hidden="false" customHeight="false" outlineLevel="0" collapsed="false">
      <c r="A6" s="5" t="s">
        <v>39</v>
      </c>
      <c r="B6" s="5" t="str">
        <f aca="false">VLOOKUP(A6,Contracts!$A$5:$O$40,2,FALSE())</f>
        <v>Customer C</v>
      </c>
      <c r="C6" s="5" t="s">
        <v>68</v>
      </c>
      <c r="D6" s="5" t="s">
        <v>69</v>
      </c>
      <c r="E6" s="9" t="n">
        <v>0.5</v>
      </c>
      <c r="F6" s="7" t="n">
        <f aca="false">E6*VLOOKUP(A6,Contracts!$A$5:$O$40,8,FALSE())</f>
        <v>12000</v>
      </c>
      <c r="G6" s="5" t="str">
        <f aca="false">VLOOKUP(A6,Contracts!$A$5:$O$40,4,FALSE())</f>
        <v>USD</v>
      </c>
      <c r="H6" s="5" t="s">
        <v>70</v>
      </c>
      <c r="I6" s="5" t="s">
        <v>70</v>
      </c>
      <c r="J6" s="8" t="str">
        <f aca="false">IF(I6="Yes","Invoiced",IF(H6="Yes","Ready to invoice","Waiting on ClickUp"))</f>
        <v>Waiting on ClickUp</v>
      </c>
      <c r="K6" s="5" t="str">
        <f aca="false">A6&amp;C6</f>
        <v>C-103M2</v>
      </c>
    </row>
    <row r="7" customFormat="false" ht="15" hidden="false" customHeight="false" outlineLevel="0" collapsed="false">
      <c r="A7" s="5" t="s">
        <v>39</v>
      </c>
      <c r="B7" s="5" t="str">
        <f aca="false">VLOOKUP(A7,Contracts!$A$5:$O$40,2,FALSE())</f>
        <v>Customer C</v>
      </c>
      <c r="C7" s="5" t="s">
        <v>71</v>
      </c>
      <c r="D7" s="5" t="s">
        <v>72</v>
      </c>
      <c r="E7" s="9" t="n">
        <v>0.25</v>
      </c>
      <c r="F7" s="7" t="n">
        <f aca="false">E7*VLOOKUP(A7,Contracts!$A$5:$O$40,8,FALSE())</f>
        <v>6000</v>
      </c>
      <c r="G7" s="5" t="str">
        <f aca="false">VLOOKUP(A7,Contracts!$A$5:$O$40,4,FALSE())</f>
        <v>USD</v>
      </c>
      <c r="H7" s="5" t="s">
        <v>70</v>
      </c>
      <c r="I7" s="5" t="s">
        <v>70</v>
      </c>
      <c r="J7" s="8" t="str">
        <f aca="false">IF(I7="Yes","Invoiced",IF(H7="Yes","Ready to invoice","Waiting on ClickUp"))</f>
        <v>Waiting on ClickUp</v>
      </c>
      <c r="K7" s="5" t="str">
        <f aca="false">A7&amp;C7</f>
        <v>C-103M3</v>
      </c>
    </row>
    <row r="8" customFormat="false" ht="15" hidden="false" customHeight="false" outlineLevel="0" collapsed="false">
      <c r="A8" s="5" t="s">
        <v>44</v>
      </c>
      <c r="B8" s="5" t="str">
        <f aca="false">VLOOKUP(A8,Contracts!$A$5:$O$40,2,FALSE())</f>
        <v>Customer D</v>
      </c>
      <c r="C8" s="5" t="s">
        <v>73</v>
      </c>
      <c r="D8" s="5" t="s">
        <v>74</v>
      </c>
      <c r="E8" s="9" t="n">
        <v>0.5</v>
      </c>
      <c r="F8" s="7" t="n">
        <f aca="false">E8*VLOOKUP(A8,Contracts!$A$5:$O$40,8,FALSE())</f>
        <v>4000</v>
      </c>
      <c r="G8" s="5" t="str">
        <f aca="false">VLOOKUP(A8,Contracts!$A$5:$O$40,4,FALSE())</f>
        <v>GBP</v>
      </c>
      <c r="H8" s="5" t="s">
        <v>67</v>
      </c>
      <c r="I8" s="5" t="s">
        <v>67</v>
      </c>
      <c r="J8" s="8" t="str">
        <f aca="false">IF(I8="Yes","Invoiced",IF(H8="Yes","Ready to invoice","Waiting on ClickUp"))</f>
        <v>Invoiced</v>
      </c>
      <c r="K8" s="5" t="str">
        <f aca="false">A8&amp;C8</f>
        <v>C-104D1</v>
      </c>
    </row>
    <row r="9" customFormat="false" ht="15" hidden="false" customHeight="false" outlineLevel="0" collapsed="false">
      <c r="A9" s="5" t="s">
        <v>44</v>
      </c>
      <c r="B9" s="5" t="str">
        <f aca="false">VLOOKUP(A9,Contracts!$A$5:$O$40,2,FALSE())</f>
        <v>Customer D</v>
      </c>
      <c r="C9" s="5" t="s">
        <v>75</v>
      </c>
      <c r="D9" s="5" t="s">
        <v>76</v>
      </c>
      <c r="E9" s="9" t="n">
        <v>0.5</v>
      </c>
      <c r="F9" s="7" t="n">
        <f aca="false">E9*VLOOKUP(A9,Contracts!$A$5:$O$40,8,FALSE())</f>
        <v>4000</v>
      </c>
      <c r="G9" s="5" t="str">
        <f aca="false">VLOOKUP(A9,Contracts!$A$5:$O$40,4,FALSE())</f>
        <v>GBP</v>
      </c>
      <c r="H9" s="5" t="s">
        <v>70</v>
      </c>
      <c r="I9" s="5" t="s">
        <v>70</v>
      </c>
      <c r="J9" s="8" t="str">
        <f aca="false">IF(I9="Yes","Invoiced",IF(H9="Yes","Ready to invoice","Waiting on ClickUp"))</f>
        <v>Waiting on ClickUp</v>
      </c>
      <c r="K9" s="5" t="str">
        <f aca="false">A9&amp;C9</f>
        <v>C-104D2</v>
      </c>
    </row>
  </sheetData>
  <conditionalFormatting sqref="J5:J40">
    <cfRule type="expression" priority="2" aboveAverage="0" equalAverage="0" bottom="0" percent="0" rank="0" text="" dxfId="0">
      <formula>J5="Ready to invoice"</formula>
    </cfRule>
  </conditionalFormatting>
  <dataValidations count="1">
    <dataValidation allowBlank="true" errorStyle="stop" operator="between" showDropDown="false" showErrorMessage="false" showInputMessage="false" sqref="H5:I40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0" width="9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9"/>
    <col collapsed="false" customWidth="true" hidden="false" outlineLevel="0" max="7" min="6" style="0" width="11"/>
    <col collapsed="false" customWidth="true" hidden="false" outlineLevel="0" max="8" min="8" style="0" width="10"/>
    <col collapsed="false" customWidth="true" hidden="false" outlineLevel="0" max="9" min="9" style="0" width="9"/>
    <col collapsed="false" customWidth="true" hidden="false" outlineLevel="0" max="10" min="10" style="0" width="30"/>
    <col collapsed="false" customWidth="true" hidden="false" outlineLevel="0" max="11" min="11" style="0" width="20"/>
    <col collapsed="false" customWidth="true" hidden="false" outlineLevel="0" max="12" min="12" style="0" width="13"/>
    <col collapsed="false" customWidth="true" hidden="false" outlineLevel="0" max="13" min="13" style="0" width="24"/>
  </cols>
  <sheetData>
    <row r="1" customFormat="false" ht="17.35" hidden="false" customHeight="false" outlineLevel="0" collapsed="false">
      <c r="A1" s="1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5" hidden="false" customHeight="false" outlineLevel="0" collapsed="false">
      <c r="A2" s="3" t="s">
        <v>1</v>
      </c>
    </row>
    <row r="4" customFormat="false" ht="28.35" hidden="false" customHeight="false" outlineLevel="0" collapsed="false">
      <c r="A4" s="4" t="s">
        <v>78</v>
      </c>
      <c r="B4" s="4" t="s">
        <v>15</v>
      </c>
      <c r="C4" s="4" t="s">
        <v>16</v>
      </c>
      <c r="D4" s="4" t="s">
        <v>17</v>
      </c>
      <c r="E4" s="4" t="s">
        <v>58</v>
      </c>
      <c r="F4" s="4" t="s">
        <v>79</v>
      </c>
      <c r="G4" s="4" t="s">
        <v>80</v>
      </c>
      <c r="H4" s="4" t="s">
        <v>60</v>
      </c>
      <c r="I4" s="4" t="s">
        <v>18</v>
      </c>
      <c r="J4" s="4" t="s">
        <v>81</v>
      </c>
      <c r="K4" s="4" t="s">
        <v>82</v>
      </c>
      <c r="L4" s="4" t="s">
        <v>83</v>
      </c>
      <c r="M4" s="4" t="s">
        <v>84</v>
      </c>
    </row>
    <row r="5" customFormat="false" ht="15" hidden="false" customHeight="false" outlineLevel="0" collapsed="false">
      <c r="A5" s="5" t="s">
        <v>8</v>
      </c>
      <c r="B5" s="5" t="s">
        <v>30</v>
      </c>
      <c r="C5" s="5" t="str">
        <f aca="false">VLOOKUP(B5,Contracts!$A$5:$O$40,2,FALSE())</f>
        <v>Customer A</v>
      </c>
      <c r="D5" s="5" t="s">
        <v>32</v>
      </c>
      <c r="E5" s="5"/>
      <c r="F5" s="6" t="n">
        <f aca="false">IF(D5="Retainer",DATE(LEFT(A5,4),RIGHT(A5,2),VLOOKUP(B5,Contracts!$A$5:$O$40,9,FALSE())),MIN(VLOOKUP(B5,Contracts!$A$5:$O$40,6,FALSE()),DATE(LEFT(A5,4),RIGHT(A5,2)+1,0)))</f>
        <v>46327</v>
      </c>
      <c r="G5" s="6" t="n">
        <f aca="false">F5+VLOOKUP(B5,Contracts!$A$5:$O$40,10,FALSE())</f>
        <v>46357</v>
      </c>
      <c r="H5" s="7" t="n">
        <f aca="false">IF(D5="Retainer",VLOOKUP(B5,Contracts!$A$5:$O$40,7,FALSE()),INDEX(Milestones!$F$5:$F$40,MATCH(B5&amp;E5,Milestones!$K$5:$K$40,0)))</f>
        <v>6000</v>
      </c>
      <c r="I5" s="5" t="str">
        <f aca="false">VLOOKUP(B5,Contracts!$A$5:$O$40,4,FALSE())</f>
        <v>USD</v>
      </c>
      <c r="J5" s="5" t="str">
        <f aca="false">IF(D5="Retainer","Repeating invoice","Draft via Make on ClickUp trigger")</f>
        <v>Repeating invoice</v>
      </c>
      <c r="K5" s="5" t="str">
        <f aca="false">B5&amp;"|"&amp;A5&amp;"|"&amp;E5</f>
        <v>C-101|2026-11|</v>
      </c>
      <c r="L5" s="8" t="str">
        <f aca="false">IF(COUNTIF($K$5:$K$40,K5)&gt;1,"Duplicate","Unique")</f>
        <v>Unique</v>
      </c>
      <c r="M5" s="8" t="str">
        <f aca="false">IF(AND(F5&gt;=VLOOKUP(B5,Contracts!$A$5:$O$40,5,FALSE()),F5&lt;=VLOOKUP(B5,Contracts!$A$5:$O$40,6,FALSE())),IF(D5="Retainer","OK",IF(INDEX(Milestones!$H$5:$H$40,MATCH(B5&amp;E5,Milestones!$K$5:$K$40,0))="Yes","OK","Waiting on ClickUp")),"Hold - outside contract")</f>
        <v>OK</v>
      </c>
    </row>
    <row r="6" customFormat="false" ht="15" hidden="false" customHeight="false" outlineLevel="0" collapsed="false">
      <c r="A6" s="5" t="s">
        <v>8</v>
      </c>
      <c r="B6" s="5" t="s">
        <v>36</v>
      </c>
      <c r="C6" s="5" t="str">
        <f aca="false">VLOOKUP(B6,Contracts!$A$5:$O$40,2,FALSE())</f>
        <v>Customer B</v>
      </c>
      <c r="D6" s="5" t="s">
        <v>32</v>
      </c>
      <c r="E6" s="5"/>
      <c r="F6" s="6" t="n">
        <f aca="false">IF(D6="Retainer",DATE(LEFT(A6,4),RIGHT(A6,2),VLOOKUP(B6,Contracts!$A$5:$O$40,9,FALSE())),MIN(VLOOKUP(B6,Contracts!$A$5:$O$40,6,FALSE()),DATE(LEFT(A6,4),RIGHT(A6,2)+1,0)))</f>
        <v>46327</v>
      </c>
      <c r="G6" s="6" t="n">
        <f aca="false">F6+VLOOKUP(B6,Contracts!$A$5:$O$40,10,FALSE())</f>
        <v>46357</v>
      </c>
      <c r="H6" s="7" t="n">
        <f aca="false">IF(D6="Retainer",VLOOKUP(B6,Contracts!$A$5:$O$40,7,FALSE()),INDEX(Milestones!$F$5:$F$40,MATCH(B6&amp;E6,Milestones!$K$5:$K$40,0)))</f>
        <v>4500</v>
      </c>
      <c r="I6" s="5" t="str">
        <f aca="false">VLOOKUP(B6,Contracts!$A$5:$O$40,4,FALSE())</f>
        <v>USD</v>
      </c>
      <c r="J6" s="5" t="str">
        <f aca="false">IF(D6="Retainer","Repeating invoice","Draft via Make on ClickUp trigger")</f>
        <v>Repeating invoice</v>
      </c>
      <c r="K6" s="5" t="str">
        <f aca="false">B6&amp;"|"&amp;A6&amp;"|"&amp;E6</f>
        <v>C-102|2026-11|</v>
      </c>
      <c r="L6" s="8" t="str">
        <f aca="false">IF(COUNTIF($K$5:$K$40,K6)&gt;1,"Duplicate","Unique")</f>
        <v>Unique</v>
      </c>
      <c r="M6" s="8" t="str">
        <f aca="false">IF(AND(F6&gt;=VLOOKUP(B6,Contracts!$A$5:$O$40,5,FALSE()),F6&lt;=VLOOKUP(B6,Contracts!$A$5:$O$40,6,FALSE())),IF(D6="Retainer","OK",IF(INDEX(Milestones!$H$5:$H$40,MATCH(B6&amp;E6,Milestones!$K$5:$K$40,0))="Yes","OK","Waiting on ClickUp")),"Hold - outside contract")</f>
        <v>OK</v>
      </c>
    </row>
    <row r="7" customFormat="false" ht="15" hidden="false" customHeight="false" outlineLevel="0" collapsed="false">
      <c r="A7" s="5" t="s">
        <v>8</v>
      </c>
      <c r="B7" s="5" t="s">
        <v>53</v>
      </c>
      <c r="C7" s="5" t="str">
        <f aca="false">VLOOKUP(B7,Contracts!$A$5:$O$40,2,FALSE())</f>
        <v>Customer F</v>
      </c>
      <c r="D7" s="5" t="s">
        <v>32</v>
      </c>
      <c r="E7" s="5"/>
      <c r="F7" s="6" t="n">
        <f aca="false">IF(D7="Retainer",DATE(LEFT(A7,4),RIGHT(A7,2),VLOOKUP(B7,Contracts!$A$5:$O$40,9,FALSE())),MIN(VLOOKUP(B7,Contracts!$A$5:$O$40,6,FALSE()),DATE(LEFT(A7,4),RIGHT(A7,2)+1,0)))</f>
        <v>46341</v>
      </c>
      <c r="G7" s="6" t="n">
        <f aca="false">F7+VLOOKUP(B7,Contracts!$A$5:$O$40,10,FALSE())</f>
        <v>46355</v>
      </c>
      <c r="H7" s="7" t="n">
        <f aca="false">IF(D7="Retainer",VLOOKUP(B7,Contracts!$A$5:$O$40,7,FALSE()),INDEX(Milestones!$F$5:$F$40,MATCH(B7&amp;E7,Milestones!$K$5:$K$40,0)))</f>
        <v>2500</v>
      </c>
      <c r="I7" s="5" t="str">
        <f aca="false">VLOOKUP(B7,Contracts!$A$5:$O$40,4,FALSE())</f>
        <v>GBP</v>
      </c>
      <c r="J7" s="5" t="str">
        <f aca="false">IF(D7="Retainer","Repeating invoice","Draft via Make on ClickUp trigger")</f>
        <v>Repeating invoice</v>
      </c>
      <c r="K7" s="5" t="str">
        <f aca="false">B7&amp;"|"&amp;A7&amp;"|"&amp;E7</f>
        <v>C-106|2026-11|</v>
      </c>
      <c r="L7" s="8" t="str">
        <f aca="false">IF(COUNTIF($K$5:$K$40,K7)&gt;1,"Duplicate","Unique")</f>
        <v>Unique</v>
      </c>
      <c r="M7" s="8" t="str">
        <f aca="false">IF(AND(F7&gt;=VLOOKUP(B7,Contracts!$A$5:$O$40,5,FALSE()),F7&lt;=VLOOKUP(B7,Contracts!$A$5:$O$40,6,FALSE())),IF(D7="Retainer","OK",IF(INDEX(Milestones!$H$5:$H$40,MATCH(B7&amp;E7,Milestones!$K$5:$K$40,0))="Yes","OK","Waiting on ClickUp")),"Hold - outside contract")</f>
        <v>OK</v>
      </c>
    </row>
    <row r="8" customFormat="false" ht="15" hidden="false" customHeight="false" outlineLevel="0" collapsed="false">
      <c r="A8" s="5" t="s">
        <v>8</v>
      </c>
      <c r="B8" s="5" t="s">
        <v>50</v>
      </c>
      <c r="C8" s="5" t="str">
        <f aca="false">VLOOKUP(B8,Contracts!$A$5:$O$40,2,FALSE())</f>
        <v>Customer E</v>
      </c>
      <c r="D8" s="5" t="s">
        <v>32</v>
      </c>
      <c r="E8" s="5"/>
      <c r="F8" s="6" t="n">
        <f aca="false">IF(D8="Retainer",DATE(LEFT(A8,4),RIGHT(A8,2),VLOOKUP(B8,Contracts!$A$5:$O$40,9,FALSE())),MIN(VLOOKUP(B8,Contracts!$A$5:$O$40,6,FALSE()),DATE(LEFT(A8,4),RIGHT(A8,2)+1,0)))</f>
        <v>46327</v>
      </c>
      <c r="G8" s="6" t="n">
        <f aca="false">F8+VLOOKUP(B8,Contracts!$A$5:$O$40,10,FALSE())</f>
        <v>46357</v>
      </c>
      <c r="H8" s="7" t="n">
        <f aca="false">IF(D8="Retainer",VLOOKUP(B8,Contracts!$A$5:$O$40,7,FALSE()),INDEX(Milestones!$F$5:$F$40,MATCH(B8&amp;E8,Milestones!$K$5:$K$40,0)))</f>
        <v>3000</v>
      </c>
      <c r="I8" s="5" t="str">
        <f aca="false">VLOOKUP(B8,Contracts!$A$5:$O$40,4,FALSE())</f>
        <v>USD</v>
      </c>
      <c r="J8" s="5" t="str">
        <f aca="false">IF(D8="Retainer","Repeating invoice","Draft via Make on ClickUp trigger")</f>
        <v>Repeating invoice</v>
      </c>
      <c r="K8" s="5" t="str">
        <f aca="false">B8&amp;"|"&amp;A8&amp;"|"&amp;E8</f>
        <v>C-105|2026-11|</v>
      </c>
      <c r="L8" s="8" t="str">
        <f aca="false">IF(COUNTIF($K$5:$K$40,K8)&gt;1,"Duplicate","Unique")</f>
        <v>Unique</v>
      </c>
      <c r="M8" s="8" t="str">
        <f aca="false">IF(AND(F8&gt;=VLOOKUP(B8,Contracts!$A$5:$O$40,5,FALSE()),F8&lt;=VLOOKUP(B8,Contracts!$A$5:$O$40,6,FALSE())),IF(D8="Retainer","OK",IF(INDEX(Milestones!$H$5:$H$40,MATCH(B8&amp;E8,Milestones!$K$5:$K$40,0))="Yes","OK","Waiting on ClickUp")),"Hold - outside contract")</f>
        <v>Hold - outside contract</v>
      </c>
    </row>
    <row r="9" customFormat="false" ht="15" hidden="false" customHeight="false" outlineLevel="0" collapsed="false">
      <c r="A9" s="5" t="s">
        <v>8</v>
      </c>
      <c r="B9" s="5" t="s">
        <v>44</v>
      </c>
      <c r="C9" s="5" t="str">
        <f aca="false">VLOOKUP(B9,Contracts!$A$5:$O$40,2,FALSE())</f>
        <v>Customer D</v>
      </c>
      <c r="D9" s="5" t="s">
        <v>58</v>
      </c>
      <c r="E9" s="5" t="s">
        <v>75</v>
      </c>
      <c r="F9" s="6" t="n">
        <f aca="false">IF(D9="Retainer",DATE(LEFT(A9,4),RIGHT(A9,2),VLOOKUP(B9,Contracts!$A$5:$O$40,9,FALSE())),MIN(VLOOKUP(B9,Contracts!$A$5:$O$40,6,FALSE()),DATE(LEFT(A9,4),RIGHT(A9,2)+1,0)))</f>
        <v>46356</v>
      </c>
      <c r="G9" s="6" t="n">
        <f aca="false">F9+VLOOKUP(B9,Contracts!$A$5:$O$40,10,FALSE())</f>
        <v>46370</v>
      </c>
      <c r="H9" s="7" t="n">
        <f aca="false">IF(D9="Retainer",VLOOKUP(B9,Contracts!$A$5:$O$40,7,FALSE()),INDEX(Milestones!$F$5:$F$40,MATCH(B9&amp;E9,Milestones!$K$5:$K$40,0)))</f>
        <v>4000</v>
      </c>
      <c r="I9" s="5" t="str">
        <f aca="false">VLOOKUP(B9,Contracts!$A$5:$O$40,4,FALSE())</f>
        <v>GBP</v>
      </c>
      <c r="J9" s="5" t="str">
        <f aca="false">IF(D9="Retainer","Repeating invoice","Draft via Make on ClickUp trigger")</f>
        <v>Draft via Make on ClickUp trigger</v>
      </c>
      <c r="K9" s="5" t="str">
        <f aca="false">B9&amp;"|"&amp;A9&amp;"|"&amp;E9</f>
        <v>C-104|2026-11|D2</v>
      </c>
      <c r="L9" s="8" t="str">
        <f aca="false">IF(COUNTIF($K$5:$K$40,K9)&gt;1,"Duplicate","Unique")</f>
        <v>Unique</v>
      </c>
      <c r="M9" s="8" t="str">
        <f aca="false">IF(AND(F9&gt;=VLOOKUP(B9,Contracts!$A$5:$O$40,5,FALSE()),F9&lt;=VLOOKUP(B9,Contracts!$A$5:$O$40,6,FALSE())),IF(D9="Retainer","OK",IF(INDEX(Milestones!$H$5:$H$40,MATCH(B9&amp;E9,Milestones!$K$5:$K$40,0))="Yes","OK","Waiting on ClickUp")),"Hold - outside contract")</f>
        <v>Waiting on ClickUp</v>
      </c>
    </row>
    <row r="10" customFormat="false" ht="15" hidden="false" customHeight="false" outlineLevel="0" collapsed="false">
      <c r="A10" s="5" t="s">
        <v>85</v>
      </c>
      <c r="B10" s="5" t="s">
        <v>30</v>
      </c>
      <c r="C10" s="5" t="str">
        <f aca="false">VLOOKUP(B10,Contracts!$A$5:$O$40,2,FALSE())</f>
        <v>Customer A</v>
      </c>
      <c r="D10" s="5" t="s">
        <v>32</v>
      </c>
      <c r="E10" s="5"/>
      <c r="F10" s="6" t="n">
        <f aca="false">IF(D10="Retainer",DATE(LEFT(A10,4),RIGHT(A10,2),VLOOKUP(B10,Contracts!$A$5:$O$40,9,FALSE())),MIN(VLOOKUP(B10,Contracts!$A$5:$O$40,6,FALSE()),DATE(LEFT(A10,4),RIGHT(A10,2)+1,0)))</f>
        <v>46357</v>
      </c>
      <c r="G10" s="6" t="n">
        <f aca="false">F10+VLOOKUP(B10,Contracts!$A$5:$O$40,10,FALSE())</f>
        <v>46387</v>
      </c>
      <c r="H10" s="7" t="n">
        <f aca="false">IF(D10="Retainer",VLOOKUP(B10,Contracts!$A$5:$O$40,7,FALSE()),INDEX(Milestones!$F$5:$F$40,MATCH(B10&amp;E10,Milestones!$K$5:$K$40,0)))</f>
        <v>6000</v>
      </c>
      <c r="I10" s="5" t="str">
        <f aca="false">VLOOKUP(B10,Contracts!$A$5:$O$40,4,FALSE())</f>
        <v>USD</v>
      </c>
      <c r="J10" s="5" t="str">
        <f aca="false">IF(D10="Retainer","Repeating invoice","Draft via Make on ClickUp trigger")</f>
        <v>Repeating invoice</v>
      </c>
      <c r="K10" s="5" t="str">
        <f aca="false">B10&amp;"|"&amp;A10&amp;"|"&amp;E10</f>
        <v>C-101|2026-12|</v>
      </c>
      <c r="L10" s="8" t="str">
        <f aca="false">IF(COUNTIF($K$5:$K$40,K10)&gt;1,"Duplicate","Unique")</f>
        <v>Unique</v>
      </c>
      <c r="M10" s="8" t="str">
        <f aca="false">IF(AND(F10&gt;=VLOOKUP(B10,Contracts!$A$5:$O$40,5,FALSE()),F10&lt;=VLOOKUP(B10,Contracts!$A$5:$O$40,6,FALSE())),IF(D10="Retainer","OK",IF(INDEX(Milestones!$H$5:$H$40,MATCH(B10&amp;E10,Milestones!$K$5:$K$40,0))="Yes","OK","Waiting on ClickUp")),"Hold - outside contract")</f>
        <v>OK</v>
      </c>
    </row>
    <row r="11" customFormat="false" ht="15" hidden="false" customHeight="false" outlineLevel="0" collapsed="false">
      <c r="A11" s="5" t="s">
        <v>85</v>
      </c>
      <c r="B11" s="5" t="s">
        <v>36</v>
      </c>
      <c r="C11" s="5" t="str">
        <f aca="false">VLOOKUP(B11,Contracts!$A$5:$O$40,2,FALSE())</f>
        <v>Customer B</v>
      </c>
      <c r="D11" s="5" t="s">
        <v>32</v>
      </c>
      <c r="E11" s="5"/>
      <c r="F11" s="6" t="n">
        <f aca="false">IF(D11="Retainer",DATE(LEFT(A11,4),RIGHT(A11,2),VLOOKUP(B11,Contracts!$A$5:$O$40,9,FALSE())),MIN(VLOOKUP(B11,Contracts!$A$5:$O$40,6,FALSE()),DATE(LEFT(A11,4),RIGHT(A11,2)+1,0)))</f>
        <v>46357</v>
      </c>
      <c r="G11" s="6" t="n">
        <f aca="false">F11+VLOOKUP(B11,Contracts!$A$5:$O$40,10,FALSE())</f>
        <v>46387</v>
      </c>
      <c r="H11" s="7" t="n">
        <f aca="false">IF(D11="Retainer",VLOOKUP(B11,Contracts!$A$5:$O$40,7,FALSE()),INDEX(Milestones!$F$5:$F$40,MATCH(B11&amp;E11,Milestones!$K$5:$K$40,0)))</f>
        <v>4500</v>
      </c>
      <c r="I11" s="5" t="str">
        <f aca="false">VLOOKUP(B11,Contracts!$A$5:$O$40,4,FALSE())</f>
        <v>USD</v>
      </c>
      <c r="J11" s="5" t="str">
        <f aca="false">IF(D11="Retainer","Repeating invoice","Draft via Make on ClickUp trigger")</f>
        <v>Repeating invoice</v>
      </c>
      <c r="K11" s="5" t="str">
        <f aca="false">B11&amp;"|"&amp;A11&amp;"|"&amp;E11</f>
        <v>C-102|2026-12|</v>
      </c>
      <c r="L11" s="8" t="str">
        <f aca="false">IF(COUNTIF($K$5:$K$40,K11)&gt;1,"Duplicate","Unique")</f>
        <v>Unique</v>
      </c>
      <c r="M11" s="8" t="str">
        <f aca="false">IF(AND(F11&gt;=VLOOKUP(B11,Contracts!$A$5:$O$40,5,FALSE()),F11&lt;=VLOOKUP(B11,Contracts!$A$5:$O$40,6,FALSE())),IF(D11="Retainer","OK",IF(INDEX(Milestones!$H$5:$H$40,MATCH(B11&amp;E11,Milestones!$K$5:$K$40,0))="Yes","OK","Waiting on ClickUp")),"Hold - outside contract")</f>
        <v>OK</v>
      </c>
    </row>
    <row r="12" customFormat="false" ht="15" hidden="false" customHeight="false" outlineLevel="0" collapsed="false">
      <c r="A12" s="5" t="s">
        <v>85</v>
      </c>
      <c r="B12" s="5" t="s">
        <v>53</v>
      </c>
      <c r="C12" s="5" t="str">
        <f aca="false">VLOOKUP(B12,Contracts!$A$5:$O$40,2,FALSE())</f>
        <v>Customer F</v>
      </c>
      <c r="D12" s="5" t="s">
        <v>32</v>
      </c>
      <c r="E12" s="5"/>
      <c r="F12" s="6" t="n">
        <f aca="false">IF(D12="Retainer",DATE(LEFT(A12,4),RIGHT(A12,2),VLOOKUP(B12,Contracts!$A$5:$O$40,9,FALSE())),MIN(VLOOKUP(B12,Contracts!$A$5:$O$40,6,FALSE()),DATE(LEFT(A12,4),RIGHT(A12,2)+1,0)))</f>
        <v>46371</v>
      </c>
      <c r="G12" s="6" t="n">
        <f aca="false">F12+VLOOKUP(B12,Contracts!$A$5:$O$40,10,FALSE())</f>
        <v>46385</v>
      </c>
      <c r="H12" s="7" t="n">
        <f aca="false">IF(D12="Retainer",VLOOKUP(B12,Contracts!$A$5:$O$40,7,FALSE()),INDEX(Milestones!$F$5:$F$40,MATCH(B12&amp;E12,Milestones!$K$5:$K$40,0)))</f>
        <v>2500</v>
      </c>
      <c r="I12" s="5" t="str">
        <f aca="false">VLOOKUP(B12,Contracts!$A$5:$O$40,4,FALSE())</f>
        <v>GBP</v>
      </c>
      <c r="J12" s="5" t="str">
        <f aca="false">IF(D12="Retainer","Repeating invoice","Draft via Make on ClickUp trigger")</f>
        <v>Repeating invoice</v>
      </c>
      <c r="K12" s="5" t="str">
        <f aca="false">B12&amp;"|"&amp;A12&amp;"|"&amp;E12</f>
        <v>C-106|2026-12|</v>
      </c>
      <c r="L12" s="8" t="str">
        <f aca="false">IF(COUNTIF($K$5:$K$40,K12)&gt;1,"Duplicate","Unique")</f>
        <v>Unique</v>
      </c>
      <c r="M12" s="8" t="str">
        <f aca="false">IF(AND(F12&gt;=VLOOKUP(B12,Contracts!$A$5:$O$40,5,FALSE()),F12&lt;=VLOOKUP(B12,Contracts!$A$5:$O$40,6,FALSE())),IF(D12="Retainer","OK",IF(INDEX(Milestones!$H$5:$H$40,MATCH(B12&amp;E12,Milestones!$K$5:$K$40,0))="Yes","OK","Waiting on ClickUp")),"Hold - outside contract")</f>
        <v>OK</v>
      </c>
    </row>
    <row r="13" customFormat="false" ht="15" hidden="false" customHeight="false" outlineLevel="0" collapsed="false">
      <c r="A13" s="5" t="s">
        <v>85</v>
      </c>
      <c r="B13" s="5" t="s">
        <v>39</v>
      </c>
      <c r="C13" s="5" t="str">
        <f aca="false">VLOOKUP(B13,Contracts!$A$5:$O$40,2,FALSE())</f>
        <v>Customer C</v>
      </c>
      <c r="D13" s="5" t="s">
        <v>58</v>
      </c>
      <c r="E13" s="5" t="s">
        <v>68</v>
      </c>
      <c r="F13" s="6" t="n">
        <f aca="false">IF(D13="Retainer",DATE(LEFT(A13,4),RIGHT(A13,2),VLOOKUP(B13,Contracts!$A$5:$O$40,9,FALSE())),MIN(VLOOKUP(B13,Contracts!$A$5:$O$40,6,FALSE()),DATE(LEFT(A13,4),RIGHT(A13,2)+1,0)))</f>
        <v>46387</v>
      </c>
      <c r="G13" s="6" t="n">
        <f aca="false">F13+VLOOKUP(B13,Contracts!$A$5:$O$40,10,FALSE())</f>
        <v>46417</v>
      </c>
      <c r="H13" s="7" t="n">
        <f aca="false">IF(D13="Retainer",VLOOKUP(B13,Contracts!$A$5:$O$40,7,FALSE()),INDEX(Milestones!$F$5:$F$40,MATCH(B13&amp;E13,Milestones!$K$5:$K$40,0)))</f>
        <v>12000</v>
      </c>
      <c r="I13" s="5" t="str">
        <f aca="false">VLOOKUP(B13,Contracts!$A$5:$O$40,4,FALSE())</f>
        <v>USD</v>
      </c>
      <c r="J13" s="5" t="str">
        <f aca="false">IF(D13="Retainer","Repeating invoice","Draft via Make on ClickUp trigger")</f>
        <v>Draft via Make on ClickUp trigger</v>
      </c>
      <c r="K13" s="5" t="str">
        <f aca="false">B13&amp;"|"&amp;A13&amp;"|"&amp;E13</f>
        <v>C-103|2026-12|M2</v>
      </c>
      <c r="L13" s="8" t="str">
        <f aca="false">IF(COUNTIF($K$5:$K$40,K13)&gt;1,"Duplicate","Unique")</f>
        <v>Unique</v>
      </c>
      <c r="M13" s="8" t="str">
        <f aca="false">IF(AND(F13&gt;=VLOOKUP(B13,Contracts!$A$5:$O$40,5,FALSE()),F13&lt;=VLOOKUP(B13,Contracts!$A$5:$O$40,6,FALSE())),IF(D13="Retainer","OK",IF(INDEX(Milestones!$H$5:$H$40,MATCH(B13&amp;E13,Milestones!$K$5:$K$40,0))="Yes","OK","Waiting on ClickUp")),"Hold - outside contract")</f>
        <v>Waiting on ClickUp</v>
      </c>
    </row>
    <row r="14" customFormat="false" ht="15" hidden="false" customHeight="false" outlineLevel="0" collapsed="false">
      <c r="A14" s="5" t="s">
        <v>86</v>
      </c>
      <c r="B14" s="5" t="s">
        <v>30</v>
      </c>
      <c r="C14" s="5" t="str">
        <f aca="false">VLOOKUP(B14,Contracts!$A$5:$O$40,2,FALSE())</f>
        <v>Customer A</v>
      </c>
      <c r="D14" s="5" t="s">
        <v>32</v>
      </c>
      <c r="E14" s="5"/>
      <c r="F14" s="6" t="n">
        <f aca="false">IF(D14="Retainer",DATE(LEFT(A14,4),RIGHT(A14,2),VLOOKUP(B14,Contracts!$A$5:$O$40,9,FALSE())),MIN(VLOOKUP(B14,Contracts!$A$5:$O$40,6,FALSE()),DATE(LEFT(A14,4),RIGHT(A14,2)+1,0)))</f>
        <v>46388</v>
      </c>
      <c r="G14" s="6" t="n">
        <f aca="false">F14+VLOOKUP(B14,Contracts!$A$5:$O$40,10,FALSE())</f>
        <v>46418</v>
      </c>
      <c r="H14" s="7" t="n">
        <f aca="false">IF(D14="Retainer",VLOOKUP(B14,Contracts!$A$5:$O$40,7,FALSE()),INDEX(Milestones!$F$5:$F$40,MATCH(B14&amp;E14,Milestones!$K$5:$K$40,0)))</f>
        <v>6000</v>
      </c>
      <c r="I14" s="5" t="str">
        <f aca="false">VLOOKUP(B14,Contracts!$A$5:$O$40,4,FALSE())</f>
        <v>USD</v>
      </c>
      <c r="J14" s="5" t="str">
        <f aca="false">IF(D14="Retainer","Repeating invoice","Draft via Make on ClickUp trigger")</f>
        <v>Repeating invoice</v>
      </c>
      <c r="K14" s="5" t="str">
        <f aca="false">B14&amp;"|"&amp;A14&amp;"|"&amp;E14</f>
        <v>C-101|2027-01|</v>
      </c>
      <c r="L14" s="8" t="str">
        <f aca="false">IF(COUNTIF($K$5:$K$40,K14)&gt;1,"Duplicate","Unique")</f>
        <v>Unique</v>
      </c>
      <c r="M14" s="8" t="str">
        <f aca="false">IF(AND(F14&gt;=VLOOKUP(B14,Contracts!$A$5:$O$40,5,FALSE()),F14&lt;=VLOOKUP(B14,Contracts!$A$5:$O$40,6,FALSE())),IF(D14="Retainer","OK",IF(INDEX(Milestones!$H$5:$H$40,MATCH(B14&amp;E14,Milestones!$K$5:$K$40,0))="Yes","OK","Waiting on ClickUp")),"Hold - outside contract")</f>
        <v>Hold - outside contract</v>
      </c>
    </row>
    <row r="15" customFormat="false" ht="15" hidden="false" customHeight="false" outlineLevel="0" collapsed="false">
      <c r="A15" s="5" t="s">
        <v>86</v>
      </c>
      <c r="B15" s="5" t="s">
        <v>36</v>
      </c>
      <c r="C15" s="5" t="str">
        <f aca="false">VLOOKUP(B15,Contracts!$A$5:$O$40,2,FALSE())</f>
        <v>Customer B</v>
      </c>
      <c r="D15" s="5" t="s">
        <v>32</v>
      </c>
      <c r="E15" s="5"/>
      <c r="F15" s="6" t="n">
        <f aca="false">IF(D15="Retainer",DATE(LEFT(A15,4),RIGHT(A15,2),VLOOKUP(B15,Contracts!$A$5:$O$40,9,FALSE())),MIN(VLOOKUP(B15,Contracts!$A$5:$O$40,6,FALSE()),DATE(LEFT(A15,4),RIGHT(A15,2)+1,0)))</f>
        <v>46388</v>
      </c>
      <c r="G15" s="6" t="n">
        <f aca="false">F15+VLOOKUP(B15,Contracts!$A$5:$O$40,10,FALSE())</f>
        <v>46418</v>
      </c>
      <c r="H15" s="7" t="n">
        <f aca="false">IF(D15="Retainer",VLOOKUP(B15,Contracts!$A$5:$O$40,7,FALSE()),INDEX(Milestones!$F$5:$F$40,MATCH(B15&amp;E15,Milestones!$K$5:$K$40,0)))</f>
        <v>4500</v>
      </c>
      <c r="I15" s="5" t="str">
        <f aca="false">VLOOKUP(B15,Contracts!$A$5:$O$40,4,FALSE())</f>
        <v>USD</v>
      </c>
      <c r="J15" s="5" t="str">
        <f aca="false">IF(D15="Retainer","Repeating invoice","Draft via Make on ClickUp trigger")</f>
        <v>Repeating invoice</v>
      </c>
      <c r="K15" s="5" t="str">
        <f aca="false">B15&amp;"|"&amp;A15&amp;"|"&amp;E15</f>
        <v>C-102|2027-01|</v>
      </c>
      <c r="L15" s="8" t="str">
        <f aca="false">IF(COUNTIF($K$5:$K$40,K15)&gt;1,"Duplicate","Unique")</f>
        <v>Unique</v>
      </c>
      <c r="M15" s="8" t="str">
        <f aca="false">IF(AND(F15&gt;=VLOOKUP(B15,Contracts!$A$5:$O$40,5,FALSE()),F15&lt;=VLOOKUP(B15,Contracts!$A$5:$O$40,6,FALSE())),IF(D15="Retainer","OK",IF(INDEX(Milestones!$H$5:$H$40,MATCH(B15&amp;E15,Milestones!$K$5:$K$40,0))="Yes","OK","Waiting on ClickUp")),"Hold - outside contract")</f>
        <v>OK</v>
      </c>
    </row>
    <row r="16" customFormat="false" ht="15" hidden="false" customHeight="false" outlineLevel="0" collapsed="false">
      <c r="A16" s="5" t="s">
        <v>86</v>
      </c>
      <c r="B16" s="5" t="s">
        <v>53</v>
      </c>
      <c r="C16" s="5" t="str">
        <f aca="false">VLOOKUP(B16,Contracts!$A$5:$O$40,2,FALSE())</f>
        <v>Customer F</v>
      </c>
      <c r="D16" s="5" t="s">
        <v>32</v>
      </c>
      <c r="E16" s="5"/>
      <c r="F16" s="6" t="n">
        <f aca="false">IF(D16="Retainer",DATE(LEFT(A16,4),RIGHT(A16,2),VLOOKUP(B16,Contracts!$A$5:$O$40,9,FALSE())),MIN(VLOOKUP(B16,Contracts!$A$5:$O$40,6,FALSE()),DATE(LEFT(A16,4),RIGHT(A16,2)+1,0)))</f>
        <v>46402</v>
      </c>
      <c r="G16" s="6" t="n">
        <f aca="false">F16+VLOOKUP(B16,Contracts!$A$5:$O$40,10,FALSE())</f>
        <v>46416</v>
      </c>
      <c r="H16" s="7" t="n">
        <f aca="false">IF(D16="Retainer",VLOOKUP(B16,Contracts!$A$5:$O$40,7,FALSE()),INDEX(Milestones!$F$5:$F$40,MATCH(B16&amp;E16,Milestones!$K$5:$K$40,0)))</f>
        <v>2500</v>
      </c>
      <c r="I16" s="5" t="str">
        <f aca="false">VLOOKUP(B16,Contracts!$A$5:$O$40,4,FALSE())</f>
        <v>GBP</v>
      </c>
      <c r="J16" s="5" t="str">
        <f aca="false">IF(D16="Retainer","Repeating invoice","Draft via Make on ClickUp trigger")</f>
        <v>Repeating invoice</v>
      </c>
      <c r="K16" s="5" t="str">
        <f aca="false">B16&amp;"|"&amp;A16&amp;"|"&amp;E16</f>
        <v>C-106|2027-01|</v>
      </c>
      <c r="L16" s="8" t="str">
        <f aca="false">IF(COUNTIF($K$5:$K$40,K16)&gt;1,"Duplicate","Unique")</f>
        <v>Unique</v>
      </c>
      <c r="M16" s="8" t="str">
        <f aca="false">IF(AND(F16&gt;=VLOOKUP(B16,Contracts!$A$5:$O$40,5,FALSE()),F16&lt;=VLOOKUP(B16,Contracts!$A$5:$O$40,6,FALSE())),IF(D16="Retainer","OK",IF(INDEX(Milestones!$H$5:$H$40,MATCH(B16&amp;E16,Milestones!$K$5:$K$40,0))="Yes","OK","Waiting on ClickUp")),"Hold - outside contract")</f>
        <v>OK</v>
      </c>
    </row>
  </sheetData>
  <conditionalFormatting sqref="M5:M40">
    <cfRule type="expression" priority="2" aboveAverage="0" equalAverage="0" bottom="0" percent="0" rank="0" text="" dxfId="1">
      <formula>LEFT(M5,4)="Hold"</formula>
    </cfRule>
    <cfRule type="expression" priority="3" aboveAverage="0" equalAverage="0" bottom="0" percent="0" rank="0" text="" dxfId="0">
      <formula>M5="Waiting on ClickUp"</formula>
    </cfRule>
  </conditionalFormatting>
  <conditionalFormatting sqref="L5:L40">
    <cfRule type="expression" priority="4" aboveAverage="0" equalAverage="0" bottom="0" percent="0" rank="0" text="" dxfId="1">
      <formula>L5="Duplicate"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9"/>
    <col collapsed="false" customWidth="true" hidden="false" outlineLevel="0" max="3" min="3" style="0" width="12"/>
    <col collapsed="false" customWidth="true" hidden="false" outlineLevel="0" max="4" min="4" style="0" width="15"/>
    <col collapsed="false" customWidth="true" hidden="false" outlineLevel="0" max="5" min="5" style="0" width="10"/>
    <col collapsed="false" customWidth="true" hidden="false" outlineLevel="0" max="6" min="6" style="0" width="9"/>
    <col collapsed="false" customWidth="true" hidden="false" outlineLevel="0" max="8" min="7" style="0" width="11"/>
    <col collapsed="false" customWidth="true" hidden="false" outlineLevel="0" max="9" min="9" style="0" width="7"/>
    <col collapsed="false" customWidth="true" hidden="false" outlineLevel="0" max="10" min="10" style="0" width="12"/>
    <col collapsed="false" customWidth="true" hidden="false" outlineLevel="0" max="11" min="11" style="0" width="24"/>
  </cols>
  <sheetData>
    <row r="1" customFormat="false" ht="17.35" hidden="false" customHeight="false" outlineLevel="0" collapsed="false">
      <c r="A1" s="1" t="s">
        <v>87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5" hidden="false" customHeight="false" outlineLevel="0" collapsed="false">
      <c r="A2" s="3" t="s">
        <v>1</v>
      </c>
    </row>
    <row r="4" customFormat="false" ht="28.35" hidden="false" customHeight="false" outlineLevel="0" collapsed="false">
      <c r="A4" s="4" t="s">
        <v>88</v>
      </c>
      <c r="B4" s="4" t="s">
        <v>15</v>
      </c>
      <c r="C4" s="4" t="s">
        <v>16</v>
      </c>
      <c r="D4" s="4" t="s">
        <v>89</v>
      </c>
      <c r="E4" s="4" t="s">
        <v>60</v>
      </c>
      <c r="F4" s="4" t="s">
        <v>18</v>
      </c>
      <c r="G4" s="4" t="s">
        <v>90</v>
      </c>
      <c r="H4" s="4" t="s">
        <v>91</v>
      </c>
      <c r="I4" s="4" t="s">
        <v>92</v>
      </c>
      <c r="J4" s="4" t="s">
        <v>93</v>
      </c>
      <c r="K4" s="4" t="s">
        <v>94</v>
      </c>
    </row>
    <row r="5" customFormat="false" ht="15" hidden="false" customHeight="false" outlineLevel="0" collapsed="false">
      <c r="A5" s="5" t="s">
        <v>95</v>
      </c>
      <c r="B5" s="5" t="s">
        <v>50</v>
      </c>
      <c r="C5" s="5" t="str">
        <f aca="false">VLOOKUP(B5,Contracts!$A$5:$O$40,2,FALSE())</f>
        <v>Customer E</v>
      </c>
      <c r="D5" s="5" t="s">
        <v>96</v>
      </c>
      <c r="E5" s="7" t="n">
        <v>3000</v>
      </c>
      <c r="F5" s="5" t="str">
        <f aca="false">VLOOKUP(B5,Contracts!$A$5:$O$40,4,FALSE())</f>
        <v>USD</v>
      </c>
      <c r="G5" s="6" t="n">
        <v>46266</v>
      </c>
      <c r="H5" s="6" t="n">
        <v>46296</v>
      </c>
      <c r="I5" s="5" t="s">
        <v>70</v>
      </c>
      <c r="J5" s="5" t="n">
        <f aca="false">IF(I5="Yes","",Settings!$B$5-H5)</f>
        <v>31</v>
      </c>
      <c r="K5" s="8" t="str">
        <f aca="false">IF(I5="Yes","Paid",IF(J5&lt;-3,"Not due",IF(J5&lt;=0,"Due soon",IF(J5&lt;7,"Reminder 1",IF(J5&lt;14,"Reminder 2",IF(J5&lt;30,"Final reminder","Escalate to account owner"))))))</f>
        <v>Escalate to account owner</v>
      </c>
    </row>
    <row r="6" customFormat="false" ht="15" hidden="false" customHeight="false" outlineLevel="0" collapsed="false">
      <c r="A6" s="5" t="s">
        <v>97</v>
      </c>
      <c r="B6" s="5" t="s">
        <v>30</v>
      </c>
      <c r="C6" s="5" t="str">
        <f aca="false">VLOOKUP(B6,Contracts!$A$5:$O$40,2,FALSE())</f>
        <v>Customer A</v>
      </c>
      <c r="D6" s="5" t="s">
        <v>98</v>
      </c>
      <c r="E6" s="7" t="n">
        <v>6000</v>
      </c>
      <c r="F6" s="5" t="str">
        <f aca="false">VLOOKUP(B6,Contracts!$A$5:$O$40,4,FALSE())</f>
        <v>USD</v>
      </c>
      <c r="G6" s="6" t="n">
        <v>46296</v>
      </c>
      <c r="H6" s="6" t="n">
        <v>46326</v>
      </c>
      <c r="I6" s="5" t="s">
        <v>70</v>
      </c>
      <c r="J6" s="5" t="n">
        <f aca="false">IF(I6="Yes","",Settings!$B$5-H6)</f>
        <v>1</v>
      </c>
      <c r="K6" s="8" t="str">
        <f aca="false">IF(I6="Yes","Paid",IF(J6&lt;-3,"Not due",IF(J6&lt;=0,"Due soon",IF(J6&lt;7,"Reminder 1",IF(J6&lt;14,"Reminder 2",IF(J6&lt;30,"Final reminder","Escalate to account owner"))))))</f>
        <v>Reminder 1</v>
      </c>
    </row>
    <row r="7" customFormat="false" ht="15" hidden="false" customHeight="false" outlineLevel="0" collapsed="false">
      <c r="A7" s="5" t="s">
        <v>99</v>
      </c>
      <c r="B7" s="5" t="s">
        <v>36</v>
      </c>
      <c r="C7" s="5" t="str">
        <f aca="false">VLOOKUP(B7,Contracts!$A$5:$O$40,2,FALSE())</f>
        <v>Customer B</v>
      </c>
      <c r="D7" s="5" t="s">
        <v>98</v>
      </c>
      <c r="E7" s="7" t="n">
        <v>4500</v>
      </c>
      <c r="F7" s="5" t="str">
        <f aca="false">VLOOKUP(B7,Contracts!$A$5:$O$40,4,FALSE())</f>
        <v>USD</v>
      </c>
      <c r="G7" s="6" t="n">
        <v>46296</v>
      </c>
      <c r="H7" s="6" t="n">
        <v>46326</v>
      </c>
      <c r="I7" s="5" t="s">
        <v>67</v>
      </c>
      <c r="J7" s="5" t="str">
        <f aca="false">IF(I7="Yes","",Settings!$B$5-H7)</f>
        <v/>
      </c>
      <c r="K7" s="8" t="str">
        <f aca="false">IF(I7="Yes","Paid",IF(J7&lt;-3,"Not due",IF(J7&lt;=0,"Due soon",IF(J7&lt;7,"Reminder 1",IF(J7&lt;14,"Reminder 2",IF(J7&lt;30,"Final reminder","Escalate to account owner"))))))</f>
        <v>Paid</v>
      </c>
    </row>
    <row r="8" customFormat="false" ht="15" hidden="false" customHeight="false" outlineLevel="0" collapsed="false">
      <c r="A8" s="5" t="s">
        <v>100</v>
      </c>
      <c r="B8" s="5" t="s">
        <v>44</v>
      </c>
      <c r="C8" s="5" t="str">
        <f aca="false">VLOOKUP(B8,Contracts!$A$5:$O$40,2,FALSE())</f>
        <v>Customer D</v>
      </c>
      <c r="D8" s="5" t="s">
        <v>101</v>
      </c>
      <c r="E8" s="7" t="n">
        <v>4000</v>
      </c>
      <c r="F8" s="5" t="str">
        <f aca="false">VLOOKUP(B8,Contracts!$A$5:$O$40,4,FALSE())</f>
        <v>GBP</v>
      </c>
      <c r="G8" s="6" t="n">
        <v>46310</v>
      </c>
      <c r="H8" s="6" t="n">
        <v>46324</v>
      </c>
      <c r="I8" s="5" t="s">
        <v>70</v>
      </c>
      <c r="J8" s="5" t="n">
        <f aca="false">IF(I8="Yes","",Settings!$B$5-H8)</f>
        <v>3</v>
      </c>
      <c r="K8" s="8" t="str">
        <f aca="false">IF(I8="Yes","Paid",IF(J8&lt;-3,"Not due",IF(J8&lt;=0,"Due soon",IF(J8&lt;7,"Reminder 1",IF(J8&lt;14,"Reminder 2",IF(J8&lt;30,"Final reminder","Escalate to account owner"))))))</f>
        <v>Reminder 1</v>
      </c>
    </row>
    <row r="9" customFormat="false" ht="15" hidden="false" customHeight="false" outlineLevel="0" collapsed="false">
      <c r="A9" s="5" t="s">
        <v>102</v>
      </c>
      <c r="B9" s="5" t="s">
        <v>39</v>
      </c>
      <c r="C9" s="5" t="str">
        <f aca="false">VLOOKUP(B9,Contracts!$A$5:$O$40,2,FALSE())</f>
        <v>Customer C</v>
      </c>
      <c r="D9" s="5" t="s">
        <v>103</v>
      </c>
      <c r="E9" s="7" t="n">
        <v>6000</v>
      </c>
      <c r="F9" s="5" t="str">
        <f aca="false">VLOOKUP(B9,Contracts!$A$5:$O$40,4,FALSE())</f>
        <v>USD</v>
      </c>
      <c r="G9" s="6" t="n">
        <v>46324</v>
      </c>
      <c r="H9" s="6" t="n">
        <v>46354</v>
      </c>
      <c r="I9" s="5" t="s">
        <v>70</v>
      </c>
      <c r="J9" s="5" t="n">
        <f aca="false">IF(I9="Yes","",Settings!$B$5-H9)</f>
        <v>-27</v>
      </c>
      <c r="K9" s="8" t="str">
        <f aca="false">IF(I9="Yes","Paid",IF(J9&lt;-3,"Not due",IF(J9&lt;=0,"Due soon",IF(J9&lt;7,"Reminder 1",IF(J9&lt;14,"Reminder 2",IF(J9&lt;30,"Final reminder","Escalate to account owner"))))))</f>
        <v>Not due</v>
      </c>
    </row>
    <row r="10" customFormat="false" ht="15" hidden="false" customHeight="false" outlineLevel="0" collapsed="false">
      <c r="A10" s="5" t="s">
        <v>104</v>
      </c>
      <c r="B10" s="5" t="s">
        <v>50</v>
      </c>
      <c r="C10" s="5" t="str">
        <f aca="false">VLOOKUP(B10,Contracts!$A$5:$O$40,2,FALSE())</f>
        <v>Customer E</v>
      </c>
      <c r="D10" s="5" t="s">
        <v>98</v>
      </c>
      <c r="E10" s="7" t="n">
        <v>3000</v>
      </c>
      <c r="F10" s="5" t="str">
        <f aca="false">VLOOKUP(B10,Contracts!$A$5:$O$40,4,FALSE())</f>
        <v>USD</v>
      </c>
      <c r="G10" s="6" t="n">
        <v>46296</v>
      </c>
      <c r="H10" s="6" t="n">
        <v>46326</v>
      </c>
      <c r="I10" s="5" t="s">
        <v>67</v>
      </c>
      <c r="J10" s="5" t="str">
        <f aca="false">IF(I10="Yes","",Settings!$B$5-H10)</f>
        <v/>
      </c>
      <c r="K10" s="8" t="str">
        <f aca="false">IF(I10="Yes","Paid",IF(J10&lt;-3,"Not due",IF(J10&lt;=0,"Due soon",IF(J10&lt;7,"Reminder 1",IF(J10&lt;14,"Reminder 2",IF(J10&lt;30,"Final reminder","Escalate to account owner"))))))</f>
        <v>Paid</v>
      </c>
    </row>
  </sheetData>
  <conditionalFormatting sqref="K5:K40">
    <cfRule type="expression" priority="2" aboveAverage="0" equalAverage="0" bottom="0" percent="0" rank="0" text="" dxfId="1">
      <formula>K5="Escalate to account owner"</formula>
    </cfRule>
    <cfRule type="expression" priority="3" aboveAverage="0" equalAverage="0" bottom="0" percent="0" rank="0" text="" dxfId="0">
      <formula>LEFT(K5,8)="Reminder"</formula>
    </cfRule>
  </conditionalFormatting>
  <dataValidations count="1">
    <dataValidation allowBlank="true" errorStyle="stop" operator="between" showDropDown="false" showErrorMessage="false" showInputMessage="false" sqref="I5:I40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8"/>
    <col collapsed="false" customWidth="true" hidden="false" outlineLevel="0" max="3" min="3" style="0" width="66"/>
    <col collapsed="false" customWidth="true" hidden="false" outlineLevel="0" max="4" min="4" style="0" width="16"/>
  </cols>
  <sheetData>
    <row r="1" customFormat="false" ht="17.35" hidden="false" customHeight="false" outlineLevel="0" collapsed="false">
      <c r="A1" s="1" t="s">
        <v>105</v>
      </c>
      <c r="B1" s="2"/>
      <c r="C1" s="2"/>
      <c r="D1" s="2"/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106</v>
      </c>
      <c r="B4" s="4" t="s">
        <v>107</v>
      </c>
      <c r="C4" s="4" t="s">
        <v>108</v>
      </c>
      <c r="D4" s="4" t="s">
        <v>109</v>
      </c>
    </row>
    <row r="5" customFormat="false" ht="15" hidden="false" customHeight="false" outlineLevel="0" collapsed="false">
      <c r="A5" s="5" t="s">
        <v>110</v>
      </c>
      <c r="B5" s="5" t="s">
        <v>111</v>
      </c>
      <c r="C5" s="5" t="s">
        <v>112</v>
      </c>
      <c r="D5" s="5" t="s">
        <v>113</v>
      </c>
    </row>
    <row r="6" customFormat="false" ht="15" hidden="false" customHeight="false" outlineLevel="0" collapsed="false">
      <c r="A6" s="5" t="s">
        <v>114</v>
      </c>
      <c r="B6" s="5" t="s">
        <v>115</v>
      </c>
      <c r="C6" s="5" t="s">
        <v>116</v>
      </c>
      <c r="D6" s="5" t="s">
        <v>113</v>
      </c>
    </row>
    <row r="7" customFormat="false" ht="15" hidden="false" customHeight="false" outlineLevel="0" collapsed="false">
      <c r="A7" s="5" t="s">
        <v>117</v>
      </c>
      <c r="B7" s="5" t="s">
        <v>35</v>
      </c>
      <c r="C7" s="5" t="s">
        <v>118</v>
      </c>
      <c r="D7" s="5" t="s">
        <v>113</v>
      </c>
    </row>
    <row r="8" customFormat="false" ht="15" hidden="false" customHeight="false" outlineLevel="0" collapsed="false">
      <c r="A8" s="5" t="s">
        <v>119</v>
      </c>
      <c r="B8" s="5" t="s">
        <v>120</v>
      </c>
      <c r="C8" s="5" t="s">
        <v>121</v>
      </c>
      <c r="D8" s="5" t="s">
        <v>113</v>
      </c>
    </row>
    <row r="9" customFormat="false" ht="15" hidden="false" customHeight="false" outlineLevel="0" collapsed="false">
      <c r="A9" s="5" t="s">
        <v>122</v>
      </c>
      <c r="B9" s="5" t="s">
        <v>123</v>
      </c>
      <c r="C9" s="5" t="s">
        <v>124</v>
      </c>
      <c r="D9" s="5" t="s">
        <v>125</v>
      </c>
    </row>
    <row r="10" customFormat="false" ht="15" hidden="false" customHeight="false" outlineLevel="0" collapsed="false">
      <c r="A10" s="5" t="s">
        <v>126</v>
      </c>
      <c r="B10" s="5" t="s">
        <v>127</v>
      </c>
      <c r="C10" s="5" t="s">
        <v>128</v>
      </c>
      <c r="D10" s="5" t="s">
        <v>113</v>
      </c>
    </row>
    <row r="11" customFormat="false" ht="15" hidden="false" customHeight="false" outlineLevel="0" collapsed="false">
      <c r="A11" s="5" t="s">
        <v>129</v>
      </c>
      <c r="B11" s="5" t="s">
        <v>130</v>
      </c>
      <c r="C11" s="5" t="s">
        <v>131</v>
      </c>
      <c r="D11" s="5" t="s">
        <v>132</v>
      </c>
    </row>
    <row r="12" customFormat="false" ht="15" hidden="false" customHeight="false" outlineLevel="0" collapsed="false">
      <c r="A12" s="5" t="s">
        <v>133</v>
      </c>
      <c r="B12" s="5" t="s">
        <v>134</v>
      </c>
      <c r="C12" s="5" t="s">
        <v>135</v>
      </c>
      <c r="D12" s="5" t="s">
        <v>113</v>
      </c>
    </row>
    <row r="13" customFormat="false" ht="15" hidden="false" customHeight="false" outlineLevel="0" collapsed="false">
      <c r="A13" s="5" t="s">
        <v>136</v>
      </c>
      <c r="B13" s="5" t="s">
        <v>137</v>
      </c>
      <c r="C13" s="5" t="s">
        <v>138</v>
      </c>
      <c r="D13" s="5" t="s">
        <v>113</v>
      </c>
    </row>
    <row r="14" customFormat="false" ht="15" hidden="false" customHeight="false" outlineLevel="0" collapsed="false">
      <c r="A14" s="5" t="s">
        <v>139</v>
      </c>
      <c r="B14" s="5" t="s">
        <v>140</v>
      </c>
      <c r="C14" s="5" t="s">
        <v>141</v>
      </c>
      <c r="D14" s="5" t="s">
        <v>113</v>
      </c>
    </row>
    <row r="15" customFormat="false" ht="15" hidden="false" customHeight="false" outlineLevel="0" collapsed="false">
      <c r="A15" s="5" t="s">
        <v>142</v>
      </c>
      <c r="B15" s="5" t="s">
        <v>123</v>
      </c>
      <c r="C15" s="5" t="s">
        <v>143</v>
      </c>
      <c r="D15" s="5" t="s">
        <v>125</v>
      </c>
    </row>
    <row r="17" customFormat="false" ht="15" hidden="false" customHeight="false" outlineLevel="0" collapsed="false">
      <c r="A17" s="10" t="s">
        <v>144</v>
      </c>
      <c r="D17" s="11" t="n">
        <f aca="false">COUNTIF(D5:D15,"Auto")/COUNTA(D5:D15)</f>
        <v>0.727272727272727</v>
      </c>
    </row>
    <row r="18" customFormat="false" ht="15" hidden="false" customHeight="false" outlineLevel="0" collapsed="false">
      <c r="A18" s="0" t="s">
        <v>145</v>
      </c>
    </row>
  </sheetData>
  <dataValidations count="1">
    <dataValidation allowBlank="true" errorStyle="stop" operator="between" showDropDown="false" showErrorMessage="false" showInputMessage="false" sqref="D5:D15" type="list">
      <formula1>"Auto,Review,Manual (control)"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0"/>
    <col collapsed="false" customWidth="true" hidden="false" outlineLevel="0" max="4" min="3" style="0" width="18"/>
    <col collapsed="false" customWidth="true" hidden="false" outlineLevel="0" max="5" min="5" style="0" width="30"/>
  </cols>
  <sheetData>
    <row r="1" customFormat="false" ht="17.35" hidden="false" customHeight="false" outlineLevel="0" collapsed="false">
      <c r="A1" s="1" t="s">
        <v>146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</v>
      </c>
    </row>
    <row r="4" customFormat="false" ht="28.35" hidden="false" customHeight="false" outlineLevel="0" collapsed="false">
      <c r="A4" s="4" t="s">
        <v>147</v>
      </c>
      <c r="B4" s="4" t="s">
        <v>18</v>
      </c>
      <c r="C4" s="4" t="s">
        <v>148</v>
      </c>
      <c r="D4" s="4" t="s">
        <v>149</v>
      </c>
      <c r="E4" s="4" t="s">
        <v>150</v>
      </c>
    </row>
    <row r="5" customFormat="false" ht="15" hidden="false" customHeight="false" outlineLevel="0" collapsed="false">
      <c r="A5" s="5" t="s">
        <v>32</v>
      </c>
      <c r="B5" s="5" t="s">
        <v>33</v>
      </c>
      <c r="C5" s="7" t="n">
        <f aca="false">SUMIFS('Invoice Schedule'!$H$5:$H$40,'Invoice Schedule'!$A$5:$A$40,Settings!$B$6,'Invoice Schedule'!$D$5:$D$40,A5,'Invoice Schedule'!$I$5:$I$40,B5,'Invoice Schedule'!$M$5:$M$40,"OK")</f>
        <v>10500</v>
      </c>
      <c r="D5" s="7" t="n">
        <f aca="false">SUMIFS('Invoice Schedule'!$H$5:$H$40,'Invoice Schedule'!$A$5:$A$40,Settings!$B$6,'Invoice Schedule'!$D$5:$D$40,A5,'Invoice Schedule'!$I$5:$I$40,B5,'Invoice Schedule'!$M$5:$M$40,"Waiting on ClickUp")</f>
        <v>0</v>
      </c>
      <c r="E5" s="7" t="n">
        <f aca="false">IF(B5="USD",C5*Settings!$B$7,C5)</f>
        <v>8190</v>
      </c>
    </row>
    <row r="6" customFormat="false" ht="15" hidden="false" customHeight="false" outlineLevel="0" collapsed="false">
      <c r="A6" s="5" t="s">
        <v>32</v>
      </c>
      <c r="B6" s="5" t="s">
        <v>47</v>
      </c>
      <c r="C6" s="7" t="n">
        <f aca="false">SUMIFS('Invoice Schedule'!$H$5:$H$40,'Invoice Schedule'!$A$5:$A$40,Settings!$B$6,'Invoice Schedule'!$D$5:$D$40,A6,'Invoice Schedule'!$I$5:$I$40,B6,'Invoice Schedule'!$M$5:$M$40,"OK")</f>
        <v>2500</v>
      </c>
      <c r="D6" s="7" t="n">
        <f aca="false">SUMIFS('Invoice Schedule'!$H$5:$H$40,'Invoice Schedule'!$A$5:$A$40,Settings!$B$6,'Invoice Schedule'!$D$5:$D$40,A6,'Invoice Schedule'!$I$5:$I$40,B6,'Invoice Schedule'!$M$5:$M$40,"Waiting on ClickUp")</f>
        <v>0</v>
      </c>
      <c r="E6" s="7" t="n">
        <f aca="false">IF(B6="USD",C6*Settings!$B$7,C6)</f>
        <v>2500</v>
      </c>
    </row>
    <row r="7" customFormat="false" ht="15" hidden="false" customHeight="false" outlineLevel="0" collapsed="false">
      <c r="A7" s="5" t="s">
        <v>58</v>
      </c>
      <c r="B7" s="5" t="s">
        <v>33</v>
      </c>
      <c r="C7" s="7" t="n">
        <f aca="false">SUMIFS('Invoice Schedule'!$H$5:$H$40,'Invoice Schedule'!$A$5:$A$40,Settings!$B$6,'Invoice Schedule'!$D$5:$D$40,A7,'Invoice Schedule'!$I$5:$I$40,B7,'Invoice Schedule'!$M$5:$M$40,"OK")</f>
        <v>0</v>
      </c>
      <c r="D7" s="7" t="n">
        <f aca="false">SUMIFS('Invoice Schedule'!$H$5:$H$40,'Invoice Schedule'!$A$5:$A$40,Settings!$B$6,'Invoice Schedule'!$D$5:$D$40,A7,'Invoice Schedule'!$I$5:$I$40,B7,'Invoice Schedule'!$M$5:$M$40,"Waiting on ClickUp")</f>
        <v>0</v>
      </c>
      <c r="E7" s="7" t="n">
        <f aca="false">IF(B7="USD",C7*Settings!$B$7,C7)</f>
        <v>0</v>
      </c>
    </row>
    <row r="8" customFormat="false" ht="15" hidden="false" customHeight="false" outlineLevel="0" collapsed="false">
      <c r="A8" s="5" t="s">
        <v>58</v>
      </c>
      <c r="B8" s="5" t="s">
        <v>47</v>
      </c>
      <c r="C8" s="7" t="n">
        <f aca="false">SUMIFS('Invoice Schedule'!$H$5:$H$40,'Invoice Schedule'!$A$5:$A$40,Settings!$B$6,'Invoice Schedule'!$D$5:$D$40,A8,'Invoice Schedule'!$I$5:$I$40,B8,'Invoice Schedule'!$M$5:$M$40,"OK")</f>
        <v>0</v>
      </c>
      <c r="D8" s="7" t="n">
        <f aca="false">SUMIFS('Invoice Schedule'!$H$5:$H$40,'Invoice Schedule'!$A$5:$A$40,Settings!$B$6,'Invoice Schedule'!$D$5:$D$40,A8,'Invoice Schedule'!$I$5:$I$40,B8,'Invoice Schedule'!$M$5:$M$40,"Waiting on ClickUp")</f>
        <v>4000</v>
      </c>
      <c r="E8" s="7" t="n">
        <f aca="false">IF(B8="USD",C8*Settings!$B$7,C8)</f>
        <v>0</v>
      </c>
    </row>
    <row r="9" customFormat="false" ht="15" hidden="false" customHeight="false" outlineLevel="0" collapsed="false">
      <c r="A9" s="12" t="s">
        <v>151</v>
      </c>
      <c r="B9" s="12"/>
      <c r="C9" s="13"/>
      <c r="D9" s="13"/>
      <c r="E9" s="13" t="n">
        <f aca="false">SUM(E5:E8)</f>
        <v>10690</v>
      </c>
    </row>
    <row r="10" customFormat="false" ht="15" hidden="false" customHeight="false" outlineLevel="0" collapsed="false">
      <c r="A10" s="5" t="s">
        <v>152</v>
      </c>
      <c r="B10" s="5"/>
      <c r="C10" s="7" t="n">
        <f aca="false">SUMIFS('Invoice Schedule'!$H$5:$H$40,'Invoice Schedule'!$A$5:$A$40,Settings!$B$6,'Invoice Schedule'!$M$5:$M$40,"Hold - outside contract")</f>
        <v>3000</v>
      </c>
      <c r="D10" s="7"/>
      <c r="E10" s="7"/>
    </row>
    <row r="11" customFormat="false" ht="15" hidden="false" customHeight="false" outlineLevel="0" collapsed="false">
      <c r="A11" s="5"/>
      <c r="B11" s="5"/>
      <c r="C11" s="7"/>
      <c r="D11" s="7"/>
      <c r="E11" s="7"/>
    </row>
    <row r="12" customFormat="false" ht="15" hidden="false" customHeight="false" outlineLevel="0" collapsed="false">
      <c r="A12" s="5" t="s">
        <v>153</v>
      </c>
      <c r="B12" s="5"/>
      <c r="C12" s="7"/>
      <c r="D12" s="7"/>
      <c r="E12" s="7" t="n">
        <f aca="false">SUMPRODUCT(('AR Tracker'!$I$5:$I$40="No")*('AR Tracker'!$E$5:$E$40)*IF('AR Tracker'!$F$5:$F$40="USD",Settings!$B$7,1))</f>
        <v>15700</v>
      </c>
    </row>
    <row r="13" customFormat="false" ht="15" hidden="false" customHeight="false" outlineLevel="0" collapsed="false">
      <c r="A13" s="5" t="s">
        <v>154</v>
      </c>
      <c r="B13" s="5"/>
      <c r="C13" s="7"/>
      <c r="D13" s="7"/>
      <c r="E13" s="7" t="n">
        <f aca="false">SUMPRODUCT(('AR Tracker'!$K$5:$K$40="Escalate to account owner")*('AR Tracker'!$E$5:$E$40)*IF('AR Tracker'!$F$5:$F$40="USD",Settings!$B$7,1))</f>
        <v>2340</v>
      </c>
    </row>
    <row r="14" customFormat="false" ht="15" hidden="false" customHeight="false" outlineLevel="0" collapsed="false">
      <c r="A14" s="5" t="s">
        <v>155</v>
      </c>
      <c r="B14" s="5"/>
      <c r="C14" s="7"/>
      <c r="D14" s="7"/>
      <c r="E14" s="7" t="n">
        <f aca="false">COUNTIF(Contracts!$N$5:$N$40,"Renewal due")</f>
        <v>1</v>
      </c>
    </row>
    <row r="15" customFormat="false" ht="15" hidden="false" customHeight="false" outlineLevel="0" collapsed="false">
      <c r="C15" s="14"/>
      <c r="D15" s="14"/>
      <c r="E15" s="14"/>
    </row>
    <row r="17" customFormat="false" ht="15" hidden="false" customHeight="false" outlineLevel="0" collapsed="false">
      <c r="A17" s="0" t="s">
        <v>156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50"/>
    <col collapsed="false" customWidth="true" hidden="false" outlineLevel="0" max="3" min="2" style="0" width="12"/>
    <col collapsed="false" customWidth="true" hidden="false" outlineLevel="0" max="4" min="4" style="0" width="10"/>
    <col collapsed="false" customWidth="true" hidden="false" outlineLevel="0" max="5" min="5" style="0" width="56"/>
  </cols>
  <sheetData>
    <row r="1" customFormat="false" ht="17.35" hidden="false" customHeight="false" outlineLevel="0" collapsed="false">
      <c r="A1" s="1" t="s">
        <v>157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158</v>
      </c>
      <c r="B4" s="4" t="s">
        <v>159</v>
      </c>
      <c r="C4" s="4" t="s">
        <v>160</v>
      </c>
      <c r="D4" s="4" t="s">
        <v>161</v>
      </c>
      <c r="E4" s="4" t="s">
        <v>162</v>
      </c>
    </row>
    <row r="5" customFormat="false" ht="15" hidden="false" customHeight="false" outlineLevel="0" collapsed="false">
      <c r="A5" s="5" t="s">
        <v>163</v>
      </c>
      <c r="B5" s="5" t="n">
        <v>0</v>
      </c>
      <c r="C5" s="5" t="n">
        <f aca="false">COUNTIF('Invoice Schedule'!L5:L40,"Duplicate")</f>
        <v>0</v>
      </c>
      <c r="D5" s="8" t="str">
        <f aca="false">IF(B5="n/a","INFO",IF(ROUND(B5-C5,2)=0,"PASS","FAIL"))</f>
        <v>PASS</v>
      </c>
      <c r="E5" s="5" t="s">
        <v>164</v>
      </c>
    </row>
    <row r="6" customFormat="false" ht="15" hidden="false" customHeight="false" outlineLevel="0" collapsed="false">
      <c r="A6" s="5" t="s">
        <v>165</v>
      </c>
      <c r="B6" s="5" t="n">
        <v>1</v>
      </c>
      <c r="C6" s="5" t="n">
        <f aca="false">SUMIF(Milestones!A5:A40,"C-103",Milestones!E5:E40)</f>
        <v>1</v>
      </c>
      <c r="D6" s="8" t="str">
        <f aca="false">IF(B6="n/a","INFO",IF(ROUND(B6-C6,2)=0,"PASS","FAIL"))</f>
        <v>PASS</v>
      </c>
      <c r="E6" s="5" t="s">
        <v>166</v>
      </c>
    </row>
    <row r="7" customFormat="false" ht="15" hidden="false" customHeight="false" outlineLevel="0" collapsed="false">
      <c r="A7" s="5" t="s">
        <v>167</v>
      </c>
      <c r="B7" s="5" t="n">
        <v>1</v>
      </c>
      <c r="C7" s="5" t="n">
        <f aca="false">SUMIF(Milestones!A5:A40,"C-104",Milestones!E5:E40)</f>
        <v>1</v>
      </c>
      <c r="D7" s="8" t="str">
        <f aca="false">IF(B7="n/a","INFO",IF(ROUND(B7-C7,2)=0,"PASS","FAIL"))</f>
        <v>PASS</v>
      </c>
      <c r="E7" s="5" t="s">
        <v>168</v>
      </c>
    </row>
    <row r="8" customFormat="false" ht="15" hidden="false" customHeight="false" outlineLevel="0" collapsed="false">
      <c r="A8" s="5" t="s">
        <v>169</v>
      </c>
      <c r="B8" s="5" t="n">
        <f aca="false">COUNTIFS(Contracts!C5:C40,"Retainer",Contracts!E5:E40,"&lt;="&amp;DATE(2026,11,30),Contracts!F5:F40,"&gt;="&amp;DATE(2026,11,1))</f>
        <v>3</v>
      </c>
      <c r="C8" s="5" t="n">
        <f aca="false">COUNTIFS('Invoice Schedule'!A5:A40,"2026-11",'Invoice Schedule'!D5:D40,"Retainer",'Invoice Schedule'!M5:M40,"OK")</f>
        <v>3</v>
      </c>
      <c r="D8" s="8" t="str">
        <f aca="false">IF(B8="n/a","INFO",IF(ROUND(B8-C8,2)=0,"PASS","FAIL"))</f>
        <v>PASS</v>
      </c>
      <c r="E8" s="5" t="s">
        <v>170</v>
      </c>
    </row>
    <row r="9" customFormat="false" ht="15" hidden="false" customHeight="false" outlineLevel="0" collapsed="false">
      <c r="A9" s="5" t="s">
        <v>171</v>
      </c>
      <c r="B9" s="5" t="s">
        <v>172</v>
      </c>
      <c r="C9" s="5" t="n">
        <f aca="false">COUNTIF('Invoice Schedule'!M5:M40,"Hold*")</f>
        <v>2</v>
      </c>
      <c r="D9" s="8" t="str">
        <f aca="false">IF(B9="n/a","INFO",IF(ROUND(B9-C9,2)=0,"PASS","FAIL"))</f>
        <v>INFO</v>
      </c>
      <c r="E9" s="5" t="s">
        <v>173</v>
      </c>
    </row>
    <row r="10" customFormat="false" ht="15" hidden="false" customHeight="false" outlineLevel="0" collapsed="false">
      <c r="A10" s="5" t="s">
        <v>174</v>
      </c>
      <c r="B10" s="5" t="n">
        <f aca="false">SUMIFS('Invoice Schedule'!H5:H40,'Invoice Schedule'!A5:A40,Settings!$B$6,'Invoice Schedule'!M5:M40,"OK")+SUMIFS('Invoice Schedule'!H5:H40,'Invoice Schedule'!A5:A40,Settings!$B$6,'Invoice Schedule'!M5:M40,"Waiting on ClickUp")</f>
        <v>17000</v>
      </c>
      <c r="C10" s="5" t="n">
        <f aca="false">SUM('Month Summary'!C5:D8)</f>
        <v>17000</v>
      </c>
      <c r="D10" s="8" t="str">
        <f aca="false">IF(B10="n/a","INFO",IF(ROUND(B10-C10,2)=0,"PASS","FAIL"))</f>
        <v>PASS</v>
      </c>
      <c r="E10" s="5" t="s">
        <v>175</v>
      </c>
    </row>
  </sheetData>
  <conditionalFormatting sqref="D5:D10">
    <cfRule type="expression" priority="2" aboveAverage="0" equalAverage="0" bottom="0" percent="0" rank="0" text="" dxfId="2">
      <formula>D5="PASS"</formula>
    </cfRule>
    <cfRule type="expression" priority="3" aboveAverage="0" equalAverage="0" bottom="0" percent="0" rank="0" text="" dxfId="1">
      <formula>D5="FAIL"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2026-10-27T08:23:00Z</dcterms:created>
  <dc:creator>openpyxl</dc:creator>
  <dc:description/>
  <dc:language>en-US</dc:language>
  <cp:lastModifiedBy/>
  <dcterms:modified xsi:type="dcterms:W3CDTF">2026-10-27T08:23:00Z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